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" yWindow="-45" windowWidth="20430" windowHeight="4425"/>
  </bookViews>
  <sheets>
    <sheet name="Assumptions" sheetId="5" r:id="rId1"/>
    <sheet name="Labor" sheetId="4" r:id="rId2"/>
    <sheet name="12 Months P&amp;L" sheetId="1" r:id="rId3"/>
    <sheet name="Cash Flow" sheetId="6" r:id="rId4"/>
    <sheet name="One Month P&amp;L" sheetId="2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B9" i="6" l="1"/>
  <c r="B59" i="6" s="1"/>
  <c r="D17" i="6"/>
  <c r="C15" i="1"/>
  <c r="AB49" i="6"/>
  <c r="Z47" i="6"/>
  <c r="X47" i="6"/>
  <c r="V47" i="6"/>
  <c r="T47" i="6"/>
  <c r="R47" i="6"/>
  <c r="P47" i="6"/>
  <c r="N47" i="6"/>
  <c r="L47" i="6"/>
  <c r="J47" i="6"/>
  <c r="H47" i="6"/>
  <c r="F47" i="6"/>
  <c r="D47" i="6"/>
  <c r="Z46" i="6"/>
  <c r="X46" i="6"/>
  <c r="V46" i="6"/>
  <c r="T46" i="6"/>
  <c r="R46" i="6"/>
  <c r="P46" i="6"/>
  <c r="N46" i="6"/>
  <c r="L46" i="6"/>
  <c r="J46" i="6"/>
  <c r="H46" i="6"/>
  <c r="F46" i="6"/>
  <c r="D46" i="6"/>
  <c r="Z45" i="6"/>
  <c r="X45" i="6"/>
  <c r="V45" i="6"/>
  <c r="T45" i="6"/>
  <c r="R45" i="6"/>
  <c r="P45" i="6"/>
  <c r="N45" i="6"/>
  <c r="L45" i="6"/>
  <c r="J45" i="6"/>
  <c r="H45" i="6"/>
  <c r="F45" i="6"/>
  <c r="D45" i="6"/>
  <c r="Z41" i="6"/>
  <c r="X41" i="6"/>
  <c r="V41" i="6"/>
  <c r="T41" i="6"/>
  <c r="R41" i="6"/>
  <c r="P41" i="6"/>
  <c r="N41" i="6"/>
  <c r="L41" i="6"/>
  <c r="J41" i="6"/>
  <c r="H41" i="6"/>
  <c r="F41" i="6"/>
  <c r="D41" i="6"/>
  <c r="Z40" i="6"/>
  <c r="X40" i="6"/>
  <c r="V40" i="6"/>
  <c r="T40" i="6"/>
  <c r="R40" i="6"/>
  <c r="P40" i="6"/>
  <c r="N40" i="6"/>
  <c r="L40" i="6"/>
  <c r="J40" i="6"/>
  <c r="H40" i="6"/>
  <c r="F40" i="6"/>
  <c r="D40" i="6"/>
  <c r="F8" i="6"/>
  <c r="H8" i="6" s="1"/>
  <c r="J8" i="6" s="1"/>
  <c r="L8" i="6" s="1"/>
  <c r="N8" i="6" s="1"/>
  <c r="P8" i="6" s="1"/>
  <c r="R8" i="6" s="1"/>
  <c r="T8" i="6" s="1"/>
  <c r="V8" i="6" s="1"/>
  <c r="X8" i="6" s="1"/>
  <c r="Z8" i="6" s="1"/>
  <c r="D8" i="6"/>
  <c r="AA47" i="1"/>
  <c r="Y39" i="1"/>
  <c r="W39" i="1"/>
  <c r="U39" i="1"/>
  <c r="S39" i="1"/>
  <c r="Q39" i="1"/>
  <c r="O39" i="1"/>
  <c r="M39" i="1"/>
  <c r="K39" i="1"/>
  <c r="I39" i="1"/>
  <c r="G39" i="1"/>
  <c r="E39" i="1"/>
  <c r="Y38" i="1"/>
  <c r="W38" i="1"/>
  <c r="U38" i="1"/>
  <c r="S38" i="1"/>
  <c r="Q38" i="1"/>
  <c r="O38" i="1"/>
  <c r="M38" i="1"/>
  <c r="K38" i="1"/>
  <c r="I38" i="1"/>
  <c r="G38" i="1"/>
  <c r="E38" i="1"/>
  <c r="C38" i="1"/>
  <c r="Y45" i="1"/>
  <c r="Y44" i="1"/>
  <c r="Y43" i="1"/>
  <c r="W45" i="1"/>
  <c r="W44" i="1"/>
  <c r="W43" i="1"/>
  <c r="U45" i="1"/>
  <c r="U44" i="1"/>
  <c r="U43" i="1"/>
  <c r="S45" i="1"/>
  <c r="S44" i="1"/>
  <c r="S43" i="1"/>
  <c r="Q45" i="1"/>
  <c r="Q44" i="1"/>
  <c r="Q43" i="1"/>
  <c r="O45" i="1"/>
  <c r="O44" i="1"/>
  <c r="O43" i="1"/>
  <c r="M45" i="1"/>
  <c r="M44" i="1"/>
  <c r="M43" i="1"/>
  <c r="K45" i="1"/>
  <c r="K44" i="1"/>
  <c r="K43" i="1"/>
  <c r="I45" i="1"/>
  <c r="I44" i="1"/>
  <c r="I43" i="1"/>
  <c r="G45" i="1"/>
  <c r="G44" i="1"/>
  <c r="G43" i="1"/>
  <c r="E45" i="1"/>
  <c r="E44" i="1"/>
  <c r="E43" i="1"/>
  <c r="C45" i="1"/>
  <c r="D108" i="5"/>
  <c r="D109" i="5" s="1"/>
  <c r="U36" i="1" s="1"/>
  <c r="D102" i="5"/>
  <c r="D103" i="5" s="1"/>
  <c r="Z37" i="6" s="1"/>
  <c r="C39" i="1"/>
  <c r="C44" i="1"/>
  <c r="C43" i="1"/>
  <c r="D81" i="5"/>
  <c r="W41" i="1" s="1"/>
  <c r="D8" i="4"/>
  <c r="E8" i="4" s="1"/>
  <c r="F8" i="4" s="1"/>
  <c r="G8" i="4" s="1"/>
  <c r="H8" i="4" s="1"/>
  <c r="I8" i="4" s="1"/>
  <c r="J8" i="4" s="1"/>
  <c r="K8" i="4" s="1"/>
  <c r="L8" i="4" s="1"/>
  <c r="M8" i="4" s="1"/>
  <c r="N8" i="4" s="1"/>
  <c r="C8" i="4"/>
  <c r="D171" i="5"/>
  <c r="D114" i="5"/>
  <c r="Z39" i="6" s="1"/>
  <c r="D97" i="5"/>
  <c r="Z36" i="6" s="1"/>
  <c r="C25" i="5"/>
  <c r="C20" i="5" s="1"/>
  <c r="E146" i="5"/>
  <c r="D146" i="5"/>
  <c r="E140" i="5"/>
  <c r="D140" i="5"/>
  <c r="D65" i="5"/>
  <c r="D72" i="5" s="1"/>
  <c r="E58" i="5"/>
  <c r="D58" i="5"/>
  <c r="D71" i="5" s="1"/>
  <c r="B45" i="5"/>
  <c r="A45" i="5"/>
  <c r="B44" i="5"/>
  <c r="A44" i="5"/>
  <c r="B43" i="5"/>
  <c r="A43" i="5"/>
  <c r="D70" i="5"/>
  <c r="F117" i="5"/>
  <c r="F120" i="5"/>
  <c r="F93" i="5"/>
  <c r="D86" i="5"/>
  <c r="C42" i="1" s="1"/>
  <c r="C19" i="5"/>
  <c r="D22" i="5"/>
  <c r="C22" i="5" s="1"/>
  <c r="C18" i="5"/>
  <c r="A6" i="5"/>
  <c r="D69" i="2"/>
  <c r="G69" i="2" s="1"/>
  <c r="C69" i="2"/>
  <c r="B69" i="2"/>
  <c r="G68" i="2"/>
  <c r="F68" i="2"/>
  <c r="G67" i="2"/>
  <c r="F67" i="2"/>
  <c r="G66" i="2"/>
  <c r="F66" i="2"/>
  <c r="G65" i="2"/>
  <c r="F65" i="2"/>
  <c r="G64" i="2"/>
  <c r="F64" i="2"/>
  <c r="G61" i="2"/>
  <c r="F61" i="2"/>
  <c r="D55" i="2"/>
  <c r="G55" i="2" s="1"/>
  <c r="C55" i="2"/>
  <c r="B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D40" i="2"/>
  <c r="G40" i="2" s="1"/>
  <c r="C40" i="2"/>
  <c r="B40" i="2"/>
  <c r="G39" i="2"/>
  <c r="F39" i="2"/>
  <c r="G38" i="2"/>
  <c r="F38" i="2"/>
  <c r="G37" i="2"/>
  <c r="F37" i="2"/>
  <c r="G36" i="2"/>
  <c r="F36" i="2"/>
  <c r="D33" i="2"/>
  <c r="G33" i="2" s="1"/>
  <c r="C33" i="2"/>
  <c r="C57" i="2" s="1"/>
  <c r="B33" i="2"/>
  <c r="B57" i="2" s="1"/>
  <c r="G32" i="2"/>
  <c r="F32" i="2"/>
  <c r="G31" i="2"/>
  <c r="F31" i="2"/>
  <c r="G30" i="2"/>
  <c r="F30" i="2"/>
  <c r="G29" i="2"/>
  <c r="F29" i="2"/>
  <c r="D23" i="2"/>
  <c r="G23" i="2" s="1"/>
  <c r="C23" i="2"/>
  <c r="B23" i="2"/>
  <c r="G22" i="2"/>
  <c r="F22" i="2"/>
  <c r="G21" i="2"/>
  <c r="F21" i="2"/>
  <c r="G20" i="2"/>
  <c r="F20" i="2"/>
  <c r="G19" i="2"/>
  <c r="F19" i="2"/>
  <c r="D16" i="2"/>
  <c r="E12" i="2" s="1"/>
  <c r="C16" i="2"/>
  <c r="C25" i="2" s="1"/>
  <c r="B16" i="2"/>
  <c r="B25" i="2" s="1"/>
  <c r="G15" i="2"/>
  <c r="F15" i="2"/>
  <c r="G14" i="2"/>
  <c r="F14" i="2"/>
  <c r="G13" i="2"/>
  <c r="F13" i="2"/>
  <c r="G12" i="2"/>
  <c r="F12" i="2"/>
  <c r="C8" i="1"/>
  <c r="E8" i="1"/>
  <c r="G8" i="1" s="1"/>
  <c r="I8" i="1" s="1"/>
  <c r="K8" i="1" s="1"/>
  <c r="M8" i="1" s="1"/>
  <c r="O8" i="1" s="1"/>
  <c r="Q8" i="1" s="1"/>
  <c r="S8" i="1" s="1"/>
  <c r="U8" i="1" s="1"/>
  <c r="W8" i="1" s="1"/>
  <c r="Y8" i="1" s="1"/>
  <c r="AA38" i="1"/>
  <c r="C37" i="1" l="1"/>
  <c r="E37" i="1"/>
  <c r="G37" i="1"/>
  <c r="D38" i="6"/>
  <c r="L38" i="6"/>
  <c r="T38" i="6"/>
  <c r="D39" i="6"/>
  <c r="L39" i="6"/>
  <c r="T39" i="6"/>
  <c r="D43" i="6"/>
  <c r="L43" i="6"/>
  <c r="T43" i="6"/>
  <c r="D44" i="6"/>
  <c r="L44" i="6"/>
  <c r="T44" i="6"/>
  <c r="K37" i="1"/>
  <c r="M37" i="1"/>
  <c r="O37" i="1"/>
  <c r="Q37" i="1"/>
  <c r="S37" i="1"/>
  <c r="U37" i="1"/>
  <c r="W37" i="1"/>
  <c r="H38" i="6"/>
  <c r="P38" i="6"/>
  <c r="X38" i="6"/>
  <c r="H39" i="6"/>
  <c r="P39" i="6"/>
  <c r="X39" i="6"/>
  <c r="H43" i="6"/>
  <c r="P43" i="6"/>
  <c r="X43" i="6"/>
  <c r="H44" i="6"/>
  <c r="P44" i="6"/>
  <c r="X44" i="6"/>
  <c r="C34" i="1"/>
  <c r="E34" i="1"/>
  <c r="G34" i="1"/>
  <c r="I35" i="1"/>
  <c r="K34" i="1"/>
  <c r="M34" i="1"/>
  <c r="O34" i="1"/>
  <c r="Q34" i="1"/>
  <c r="S34" i="1"/>
  <c r="U34" i="1"/>
  <c r="W34" i="1"/>
  <c r="Y34" i="1"/>
  <c r="D36" i="6"/>
  <c r="H36" i="6"/>
  <c r="L36" i="6"/>
  <c r="P36" i="6"/>
  <c r="T36" i="6"/>
  <c r="X36" i="6"/>
  <c r="D37" i="6"/>
  <c r="H37" i="6"/>
  <c r="L37" i="6"/>
  <c r="P37" i="6"/>
  <c r="T37" i="6"/>
  <c r="X37" i="6"/>
  <c r="C35" i="1"/>
  <c r="E35" i="1"/>
  <c r="G35" i="1"/>
  <c r="I37" i="1"/>
  <c r="AA37" i="1" s="1"/>
  <c r="I34" i="1"/>
  <c r="K35" i="1"/>
  <c r="M35" i="1"/>
  <c r="O35" i="1"/>
  <c r="Q35" i="1"/>
  <c r="S35" i="1"/>
  <c r="U35" i="1"/>
  <c r="AA35" i="1" s="1"/>
  <c r="W35" i="1"/>
  <c r="Y37" i="1"/>
  <c r="Y35" i="1"/>
  <c r="F36" i="6"/>
  <c r="J36" i="6"/>
  <c r="N36" i="6"/>
  <c r="R36" i="6"/>
  <c r="V36" i="6"/>
  <c r="F37" i="6"/>
  <c r="J37" i="6"/>
  <c r="N37" i="6"/>
  <c r="R37" i="6"/>
  <c r="V37" i="6"/>
  <c r="F38" i="6"/>
  <c r="J38" i="6"/>
  <c r="N38" i="6"/>
  <c r="R38" i="6"/>
  <c r="V38" i="6"/>
  <c r="Z38" i="6"/>
  <c r="AB38" i="6" s="1"/>
  <c r="F39" i="6"/>
  <c r="J39" i="6"/>
  <c r="N39" i="6"/>
  <c r="R39" i="6"/>
  <c r="AB39" i="6" s="1"/>
  <c r="V39" i="6"/>
  <c r="F43" i="6"/>
  <c r="J43" i="6"/>
  <c r="N43" i="6"/>
  <c r="R43" i="6"/>
  <c r="V43" i="6"/>
  <c r="AB43" i="6" s="1"/>
  <c r="Z43" i="6"/>
  <c r="F44" i="6"/>
  <c r="J44" i="6"/>
  <c r="N44" i="6"/>
  <c r="R44" i="6"/>
  <c r="V44" i="6"/>
  <c r="AB44" i="6" s="1"/>
  <c r="Z44" i="6"/>
  <c r="AB40" i="6"/>
  <c r="AB41" i="6"/>
  <c r="AB45" i="6"/>
  <c r="AB47" i="6"/>
  <c r="AB46" i="6"/>
  <c r="C36" i="1"/>
  <c r="G36" i="1"/>
  <c r="I36" i="1"/>
  <c r="K36" i="1"/>
  <c r="O36" i="1"/>
  <c r="S36" i="1"/>
  <c r="W36" i="1"/>
  <c r="Y36" i="1"/>
  <c r="E36" i="1"/>
  <c r="M36" i="1"/>
  <c r="Q36" i="1"/>
  <c r="AA44" i="1"/>
  <c r="AA34" i="1"/>
  <c r="AA39" i="1"/>
  <c r="AA43" i="1"/>
  <c r="AA45" i="1"/>
  <c r="I41" i="1"/>
  <c r="Q41" i="1"/>
  <c r="Y41" i="1"/>
  <c r="E41" i="1"/>
  <c r="M41" i="1"/>
  <c r="U41" i="1"/>
  <c r="E42" i="1"/>
  <c r="G42" i="1"/>
  <c r="I42" i="1"/>
  <c r="K42" i="1"/>
  <c r="M42" i="1"/>
  <c r="O42" i="1"/>
  <c r="Q42" i="1"/>
  <c r="S42" i="1"/>
  <c r="U42" i="1"/>
  <c r="W42" i="1"/>
  <c r="Y42" i="1"/>
  <c r="C41" i="1"/>
  <c r="G41" i="1"/>
  <c r="K41" i="1"/>
  <c r="O41" i="1"/>
  <c r="S41" i="1"/>
  <c r="D23" i="5"/>
  <c r="D76" i="5"/>
  <c r="D135" i="5"/>
  <c r="C21" i="5"/>
  <c r="C23" i="5" s="1"/>
  <c r="E135" i="5"/>
  <c r="E14" i="2"/>
  <c r="B59" i="2"/>
  <c r="C59" i="2"/>
  <c r="F16" i="2"/>
  <c r="E19" i="2"/>
  <c r="E21" i="2"/>
  <c r="F23" i="2"/>
  <c r="D25" i="2"/>
  <c r="B6" i="2" s="1"/>
  <c r="E29" i="2"/>
  <c r="E31" i="2"/>
  <c r="F33" i="2"/>
  <c r="E36" i="2"/>
  <c r="E38" i="2"/>
  <c r="F40" i="2"/>
  <c r="E43" i="2"/>
  <c r="E45" i="2"/>
  <c r="E47" i="2"/>
  <c r="E49" i="2"/>
  <c r="E51" i="2"/>
  <c r="E53" i="2"/>
  <c r="F55" i="2"/>
  <c r="D57" i="2"/>
  <c r="E61" i="2"/>
  <c r="E65" i="2"/>
  <c r="E67" i="2"/>
  <c r="F69" i="2"/>
  <c r="E13" i="2"/>
  <c r="E15" i="2"/>
  <c r="E16" i="2"/>
  <c r="G16" i="2"/>
  <c r="E20" i="2"/>
  <c r="E22" i="2"/>
  <c r="E23" i="2"/>
  <c r="E25" i="2"/>
  <c r="E30" i="2"/>
  <c r="E32" i="2"/>
  <c r="E33" i="2"/>
  <c r="E37" i="2"/>
  <c r="E39" i="2"/>
  <c r="E40" i="2"/>
  <c r="E44" i="2"/>
  <c r="E46" i="2"/>
  <c r="E48" i="2"/>
  <c r="E50" i="2"/>
  <c r="E52" i="2"/>
  <c r="E54" i="2"/>
  <c r="E55" i="2"/>
  <c r="E57" i="2"/>
  <c r="E64" i="2"/>
  <c r="E66" i="2"/>
  <c r="E68" i="2"/>
  <c r="E69" i="2"/>
  <c r="AB37" i="6" l="1"/>
  <c r="AB36" i="6"/>
  <c r="D18" i="6"/>
  <c r="D16" i="6"/>
  <c r="D14" i="6"/>
  <c r="D12" i="6"/>
  <c r="C14" i="1"/>
  <c r="D15" i="6"/>
  <c r="D13" i="6"/>
  <c r="AA41" i="1"/>
  <c r="AA36" i="1"/>
  <c r="AA42" i="1"/>
  <c r="C16" i="1"/>
  <c r="E16" i="1" s="1"/>
  <c r="G16" i="1" s="1"/>
  <c r="I16" i="1" s="1"/>
  <c r="K16" i="1" s="1"/>
  <c r="M16" i="1" s="1"/>
  <c r="O16" i="1" s="1"/>
  <c r="Q16" i="1" s="1"/>
  <c r="S16" i="1" s="1"/>
  <c r="U16" i="1" s="1"/>
  <c r="W16" i="1" s="1"/>
  <c r="Y16" i="1" s="1"/>
  <c r="E14" i="1"/>
  <c r="C12" i="1"/>
  <c r="E12" i="1" s="1"/>
  <c r="G12" i="1" s="1"/>
  <c r="I12" i="1" s="1"/>
  <c r="K12" i="1" s="1"/>
  <c r="M12" i="1" s="1"/>
  <c r="O12" i="1" s="1"/>
  <c r="Q12" i="1" s="1"/>
  <c r="S12" i="1" s="1"/>
  <c r="U12" i="1" s="1"/>
  <c r="W12" i="1" s="1"/>
  <c r="Y12" i="1" s="1"/>
  <c r="C21" i="4"/>
  <c r="C22" i="4" s="1"/>
  <c r="E15" i="1"/>
  <c r="G15" i="1" s="1"/>
  <c r="I15" i="1" s="1"/>
  <c r="K15" i="1" s="1"/>
  <c r="M15" i="1" s="1"/>
  <c r="O15" i="1" s="1"/>
  <c r="Q15" i="1" s="1"/>
  <c r="S15" i="1" s="1"/>
  <c r="U15" i="1" s="1"/>
  <c r="W15" i="1" s="1"/>
  <c r="Y15" i="1" s="1"/>
  <c r="C13" i="1"/>
  <c r="C11" i="1"/>
  <c r="E11" i="1" s="1"/>
  <c r="G11" i="1" s="1"/>
  <c r="I11" i="1" s="1"/>
  <c r="K11" i="1" s="1"/>
  <c r="M11" i="1" s="1"/>
  <c r="O11" i="1" s="1"/>
  <c r="Q11" i="1" s="1"/>
  <c r="S11" i="1" s="1"/>
  <c r="U11" i="1" s="1"/>
  <c r="W11" i="1" s="1"/>
  <c r="Y11" i="1" s="1"/>
  <c r="C10" i="1"/>
  <c r="C15" i="4"/>
  <c r="C12" i="4"/>
  <c r="D12" i="4" s="1"/>
  <c r="E12" i="4" s="1"/>
  <c r="F12" i="4" s="1"/>
  <c r="G12" i="4" s="1"/>
  <c r="C10" i="4"/>
  <c r="C13" i="4"/>
  <c r="C11" i="4"/>
  <c r="D11" i="4" s="1"/>
  <c r="E11" i="4" s="1"/>
  <c r="F11" i="4" s="1"/>
  <c r="G11" i="4" s="1"/>
  <c r="G25" i="2"/>
  <c r="F25" i="2"/>
  <c r="G57" i="2"/>
  <c r="F57" i="2"/>
  <c r="D59" i="2"/>
  <c r="C71" i="2"/>
  <c r="G59" i="2"/>
  <c r="B71" i="2"/>
  <c r="F59" i="2"/>
  <c r="D24" i="6" l="1"/>
  <c r="F24" i="6" s="1"/>
  <c r="H24" i="6" s="1"/>
  <c r="J24" i="6" s="1"/>
  <c r="L24" i="6" s="1"/>
  <c r="N24" i="6" s="1"/>
  <c r="P24" i="6" s="1"/>
  <c r="R24" i="6" s="1"/>
  <c r="T24" i="6" s="1"/>
  <c r="V24" i="6" s="1"/>
  <c r="X24" i="6" s="1"/>
  <c r="Z24" i="6" s="1"/>
  <c r="AB24" i="6" s="1"/>
  <c r="F13" i="6"/>
  <c r="H13" i="6" s="1"/>
  <c r="J13" i="6" s="1"/>
  <c r="L13" i="6" s="1"/>
  <c r="N13" i="6" s="1"/>
  <c r="P13" i="6" s="1"/>
  <c r="R13" i="6" s="1"/>
  <c r="T13" i="6" s="1"/>
  <c r="V13" i="6" s="1"/>
  <c r="X13" i="6" s="1"/>
  <c r="Z13" i="6" s="1"/>
  <c r="AB13" i="6" s="1"/>
  <c r="D28" i="6"/>
  <c r="F28" i="6" s="1"/>
  <c r="H28" i="6" s="1"/>
  <c r="J28" i="6" s="1"/>
  <c r="L28" i="6" s="1"/>
  <c r="N28" i="6" s="1"/>
  <c r="P28" i="6" s="1"/>
  <c r="R28" i="6" s="1"/>
  <c r="T28" i="6" s="1"/>
  <c r="V28" i="6" s="1"/>
  <c r="X28" i="6" s="1"/>
  <c r="Z28" i="6" s="1"/>
  <c r="AB28" i="6" s="1"/>
  <c r="F17" i="6"/>
  <c r="H17" i="6" s="1"/>
  <c r="J17" i="6" s="1"/>
  <c r="L17" i="6" s="1"/>
  <c r="N17" i="6" s="1"/>
  <c r="P17" i="6" s="1"/>
  <c r="R17" i="6" s="1"/>
  <c r="T17" i="6" s="1"/>
  <c r="V17" i="6" s="1"/>
  <c r="X17" i="6" s="1"/>
  <c r="Z17" i="6" s="1"/>
  <c r="AB17" i="6" s="1"/>
  <c r="D23" i="6"/>
  <c r="D19" i="6"/>
  <c r="F12" i="6"/>
  <c r="D27" i="6"/>
  <c r="F27" i="6" s="1"/>
  <c r="H27" i="6" s="1"/>
  <c r="J27" i="6" s="1"/>
  <c r="L27" i="6" s="1"/>
  <c r="N27" i="6" s="1"/>
  <c r="P27" i="6" s="1"/>
  <c r="R27" i="6" s="1"/>
  <c r="T27" i="6" s="1"/>
  <c r="V27" i="6" s="1"/>
  <c r="X27" i="6" s="1"/>
  <c r="Z27" i="6" s="1"/>
  <c r="AB27" i="6" s="1"/>
  <c r="F16" i="6"/>
  <c r="H16" i="6" s="1"/>
  <c r="J16" i="6" s="1"/>
  <c r="L16" i="6" s="1"/>
  <c r="N16" i="6" s="1"/>
  <c r="P16" i="6" s="1"/>
  <c r="R16" i="6" s="1"/>
  <c r="T16" i="6" s="1"/>
  <c r="V16" i="6" s="1"/>
  <c r="X16" i="6" s="1"/>
  <c r="Z16" i="6" s="1"/>
  <c r="AB16" i="6" s="1"/>
  <c r="D26" i="6"/>
  <c r="F26" i="6" s="1"/>
  <c r="H26" i="6" s="1"/>
  <c r="J26" i="6" s="1"/>
  <c r="L26" i="6" s="1"/>
  <c r="N26" i="6" s="1"/>
  <c r="P26" i="6" s="1"/>
  <c r="R26" i="6" s="1"/>
  <c r="T26" i="6" s="1"/>
  <c r="V26" i="6" s="1"/>
  <c r="X26" i="6" s="1"/>
  <c r="Z26" i="6" s="1"/>
  <c r="AB26" i="6" s="1"/>
  <c r="F15" i="6"/>
  <c r="D20" i="6"/>
  <c r="D25" i="6"/>
  <c r="F25" i="6" s="1"/>
  <c r="H25" i="6" s="1"/>
  <c r="J25" i="6" s="1"/>
  <c r="L25" i="6" s="1"/>
  <c r="N25" i="6" s="1"/>
  <c r="P25" i="6" s="1"/>
  <c r="R25" i="6" s="1"/>
  <c r="T25" i="6" s="1"/>
  <c r="V25" i="6" s="1"/>
  <c r="X25" i="6" s="1"/>
  <c r="Z25" i="6" s="1"/>
  <c r="AB25" i="6" s="1"/>
  <c r="F14" i="6"/>
  <c r="H14" i="6" s="1"/>
  <c r="J14" i="6" s="1"/>
  <c r="L14" i="6" s="1"/>
  <c r="N14" i="6" s="1"/>
  <c r="P14" i="6" s="1"/>
  <c r="R14" i="6" s="1"/>
  <c r="T14" i="6" s="1"/>
  <c r="V14" i="6" s="1"/>
  <c r="X14" i="6" s="1"/>
  <c r="Z14" i="6" s="1"/>
  <c r="AB14" i="6" s="1"/>
  <c r="D29" i="6"/>
  <c r="F29" i="6" s="1"/>
  <c r="H29" i="6" s="1"/>
  <c r="J29" i="6" s="1"/>
  <c r="L29" i="6" s="1"/>
  <c r="N29" i="6" s="1"/>
  <c r="P29" i="6" s="1"/>
  <c r="R29" i="6" s="1"/>
  <c r="T29" i="6" s="1"/>
  <c r="V29" i="6" s="1"/>
  <c r="X29" i="6" s="1"/>
  <c r="Z29" i="6" s="1"/>
  <c r="AB29" i="6" s="1"/>
  <c r="F18" i="6"/>
  <c r="H18" i="6" s="1"/>
  <c r="J18" i="6" s="1"/>
  <c r="L18" i="6" s="1"/>
  <c r="N18" i="6" s="1"/>
  <c r="P18" i="6" s="1"/>
  <c r="R18" i="6" s="1"/>
  <c r="T18" i="6" s="1"/>
  <c r="V18" i="6" s="1"/>
  <c r="X18" i="6" s="1"/>
  <c r="Z18" i="6" s="1"/>
  <c r="AB18" i="6" s="1"/>
  <c r="D14" i="4"/>
  <c r="D15" i="4"/>
  <c r="D16" i="4"/>
  <c r="D13" i="4"/>
  <c r="E13" i="1"/>
  <c r="C18" i="1"/>
  <c r="G14" i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C21" i="1"/>
  <c r="E21" i="1" s="1"/>
  <c r="E10" i="1"/>
  <c r="AA11" i="1"/>
  <c r="C22" i="1"/>
  <c r="AA15" i="1"/>
  <c r="C26" i="1"/>
  <c r="AA12" i="1"/>
  <c r="C23" i="1"/>
  <c r="AA16" i="1"/>
  <c r="C27" i="1"/>
  <c r="C24" i="1"/>
  <c r="C25" i="1"/>
  <c r="D21" i="4"/>
  <c r="D22" i="4" s="1"/>
  <c r="C17" i="1"/>
  <c r="H12" i="4"/>
  <c r="I12" i="4" s="1"/>
  <c r="J12" i="4" s="1"/>
  <c r="K12" i="4" s="1"/>
  <c r="L12" i="4" s="1"/>
  <c r="M12" i="4" s="1"/>
  <c r="N12" i="4" s="1"/>
  <c r="O12" i="4" s="1"/>
  <c r="H11" i="4"/>
  <c r="I11" i="4" s="1"/>
  <c r="J11" i="4" s="1"/>
  <c r="K11" i="4" s="1"/>
  <c r="L11" i="4" s="1"/>
  <c r="M11" i="4" s="1"/>
  <c r="N11" i="4" s="1"/>
  <c r="O11" i="4" s="1"/>
  <c r="C17" i="4"/>
  <c r="D10" i="4"/>
  <c r="D71" i="2"/>
  <c r="G71" i="2" s="1"/>
  <c r="E59" i="2"/>
  <c r="D48" i="6" l="1"/>
  <c r="D42" i="6"/>
  <c r="F20" i="6"/>
  <c r="H15" i="6"/>
  <c r="F19" i="6"/>
  <c r="H12" i="6"/>
  <c r="F23" i="6"/>
  <c r="D30" i="6"/>
  <c r="D32" i="6" s="1"/>
  <c r="E16" i="4"/>
  <c r="E13" i="4"/>
  <c r="E15" i="4"/>
  <c r="E14" i="4"/>
  <c r="E18" i="1"/>
  <c r="G13" i="1"/>
  <c r="C40" i="1"/>
  <c r="C46" i="1"/>
  <c r="E25" i="1"/>
  <c r="G25" i="1" s="1"/>
  <c r="I25" i="1" s="1"/>
  <c r="K25" i="1" s="1"/>
  <c r="M25" i="1" s="1"/>
  <c r="O25" i="1" s="1"/>
  <c r="Q25" i="1" s="1"/>
  <c r="S25" i="1" s="1"/>
  <c r="U25" i="1" s="1"/>
  <c r="W25" i="1" s="1"/>
  <c r="Y25" i="1" s="1"/>
  <c r="AA25" i="1" s="1"/>
  <c r="E24" i="1"/>
  <c r="G24" i="1" s="1"/>
  <c r="I24" i="1" s="1"/>
  <c r="K24" i="1" s="1"/>
  <c r="M24" i="1" s="1"/>
  <c r="O24" i="1" s="1"/>
  <c r="Q24" i="1" s="1"/>
  <c r="S24" i="1" s="1"/>
  <c r="U24" i="1" s="1"/>
  <c r="W24" i="1" s="1"/>
  <c r="Y24" i="1" s="1"/>
  <c r="AA24" i="1" s="1"/>
  <c r="G10" i="1"/>
  <c r="I10" i="1" s="1"/>
  <c r="E17" i="1"/>
  <c r="E46" i="1" s="1"/>
  <c r="E27" i="1"/>
  <c r="G27" i="1" s="1"/>
  <c r="I27" i="1" s="1"/>
  <c r="K27" i="1" s="1"/>
  <c r="M27" i="1" s="1"/>
  <c r="O27" i="1" s="1"/>
  <c r="Q27" i="1" s="1"/>
  <c r="S27" i="1" s="1"/>
  <c r="U27" i="1" s="1"/>
  <c r="W27" i="1" s="1"/>
  <c r="Y27" i="1" s="1"/>
  <c r="AA27" i="1" s="1"/>
  <c r="E23" i="1"/>
  <c r="G23" i="1" s="1"/>
  <c r="I23" i="1" s="1"/>
  <c r="K23" i="1" s="1"/>
  <c r="M23" i="1" s="1"/>
  <c r="O23" i="1" s="1"/>
  <c r="Q23" i="1" s="1"/>
  <c r="S23" i="1" s="1"/>
  <c r="U23" i="1" s="1"/>
  <c r="W23" i="1" s="1"/>
  <c r="Y23" i="1" s="1"/>
  <c r="AA23" i="1" s="1"/>
  <c r="E26" i="1"/>
  <c r="G26" i="1" s="1"/>
  <c r="I26" i="1" s="1"/>
  <c r="K26" i="1" s="1"/>
  <c r="M26" i="1" s="1"/>
  <c r="O26" i="1" s="1"/>
  <c r="Q26" i="1" s="1"/>
  <c r="S26" i="1" s="1"/>
  <c r="U26" i="1" s="1"/>
  <c r="W26" i="1" s="1"/>
  <c r="Y26" i="1" s="1"/>
  <c r="AA26" i="1" s="1"/>
  <c r="E22" i="1"/>
  <c r="G22" i="1" s="1"/>
  <c r="I22" i="1" s="1"/>
  <c r="K22" i="1" s="1"/>
  <c r="M22" i="1" s="1"/>
  <c r="O22" i="1" s="1"/>
  <c r="Q22" i="1" s="1"/>
  <c r="S22" i="1" s="1"/>
  <c r="U22" i="1" s="1"/>
  <c r="W22" i="1" s="1"/>
  <c r="Y22" i="1" s="1"/>
  <c r="AA22" i="1" s="1"/>
  <c r="G21" i="1"/>
  <c r="C28" i="1"/>
  <c r="C30" i="1" s="1"/>
  <c r="D10" i="1"/>
  <c r="D15" i="1"/>
  <c r="D11" i="1"/>
  <c r="D16" i="1"/>
  <c r="D12" i="1"/>
  <c r="D13" i="1"/>
  <c r="D14" i="1"/>
  <c r="E21" i="4"/>
  <c r="E22" i="4" s="1"/>
  <c r="D17" i="4"/>
  <c r="E10" i="4"/>
  <c r="E71" i="2"/>
  <c r="B7" i="2"/>
  <c r="F71" i="2"/>
  <c r="D50" i="6" l="1"/>
  <c r="D52" i="6" s="1"/>
  <c r="D59" i="6" s="1"/>
  <c r="H19" i="6"/>
  <c r="J12" i="6"/>
  <c r="H20" i="6"/>
  <c r="J15" i="6"/>
  <c r="F30" i="6"/>
  <c r="F32" i="6" s="1"/>
  <c r="H23" i="6"/>
  <c r="F42" i="6"/>
  <c r="F48" i="6"/>
  <c r="F13" i="4"/>
  <c r="F14" i="4"/>
  <c r="F15" i="4"/>
  <c r="F16" i="4"/>
  <c r="C48" i="1"/>
  <c r="I13" i="1"/>
  <c r="K13" i="1" s="1"/>
  <c r="M13" i="1" s="1"/>
  <c r="O13" i="1" s="1"/>
  <c r="Q13" i="1" s="1"/>
  <c r="S13" i="1" s="1"/>
  <c r="U13" i="1" s="1"/>
  <c r="W13" i="1" s="1"/>
  <c r="Y13" i="1" s="1"/>
  <c r="AA13" i="1" s="1"/>
  <c r="G18" i="1"/>
  <c r="G17" i="1"/>
  <c r="H10" i="1" s="1"/>
  <c r="I21" i="1"/>
  <c r="G28" i="1"/>
  <c r="G30" i="1" s="1"/>
  <c r="H30" i="1" s="1"/>
  <c r="E28" i="1"/>
  <c r="E30" i="1" s="1"/>
  <c r="F30" i="1" s="1"/>
  <c r="K10" i="1"/>
  <c r="E40" i="1"/>
  <c r="F16" i="1"/>
  <c r="F15" i="1"/>
  <c r="F11" i="1"/>
  <c r="F14" i="1"/>
  <c r="F12" i="1"/>
  <c r="F10" i="1"/>
  <c r="F13" i="1"/>
  <c r="D30" i="1"/>
  <c r="D21" i="1"/>
  <c r="D26" i="1"/>
  <c r="D24" i="1"/>
  <c r="D22" i="1"/>
  <c r="D27" i="1"/>
  <c r="D23" i="1"/>
  <c r="D25" i="1"/>
  <c r="F21" i="4"/>
  <c r="F22" i="4" s="1"/>
  <c r="D17" i="1"/>
  <c r="F10" i="4"/>
  <c r="E17" i="4"/>
  <c r="H30" i="6" l="1"/>
  <c r="J23" i="6"/>
  <c r="L15" i="6"/>
  <c r="J20" i="6"/>
  <c r="L12" i="6"/>
  <c r="J19" i="6"/>
  <c r="H14" i="1"/>
  <c r="F50" i="6"/>
  <c r="F52" i="6" s="1"/>
  <c r="F59" i="6" s="1"/>
  <c r="H42" i="6"/>
  <c r="H48" i="6"/>
  <c r="H32" i="6"/>
  <c r="H12" i="1"/>
  <c r="H11" i="1"/>
  <c r="H15" i="1"/>
  <c r="G13" i="4"/>
  <c r="G14" i="4"/>
  <c r="G15" i="4"/>
  <c r="G16" i="4"/>
  <c r="D37" i="1"/>
  <c r="D47" i="1"/>
  <c r="H16" i="1"/>
  <c r="H13" i="1"/>
  <c r="I17" i="1"/>
  <c r="I40" i="1" s="1"/>
  <c r="D46" i="1"/>
  <c r="D45" i="1"/>
  <c r="D44" i="1"/>
  <c r="D43" i="1"/>
  <c r="D42" i="1"/>
  <c r="D39" i="1"/>
  <c r="C50" i="1"/>
  <c r="D50" i="1" s="1"/>
  <c r="D40" i="1"/>
  <c r="D48" i="1"/>
  <c r="D34" i="1"/>
  <c r="D38" i="1"/>
  <c r="D41" i="1"/>
  <c r="D35" i="1"/>
  <c r="D36" i="1"/>
  <c r="I18" i="1"/>
  <c r="K18" i="1" s="1"/>
  <c r="M18" i="1" s="1"/>
  <c r="O18" i="1" s="1"/>
  <c r="Q18" i="1" s="1"/>
  <c r="S18" i="1" s="1"/>
  <c r="U18" i="1" s="1"/>
  <c r="W18" i="1" s="1"/>
  <c r="Y18" i="1" s="1"/>
  <c r="G40" i="1"/>
  <c r="G46" i="1"/>
  <c r="F17" i="1"/>
  <c r="M10" i="1"/>
  <c r="K17" i="1"/>
  <c r="H24" i="1"/>
  <c r="H26" i="1"/>
  <c r="H23" i="1"/>
  <c r="H22" i="1"/>
  <c r="H27" i="1"/>
  <c r="H25" i="1"/>
  <c r="H21" i="1"/>
  <c r="J12" i="1"/>
  <c r="F27" i="1"/>
  <c r="F23" i="1"/>
  <c r="F25" i="1"/>
  <c r="F21" i="1"/>
  <c r="F22" i="1"/>
  <c r="F26" i="1"/>
  <c r="F24" i="1"/>
  <c r="I28" i="1"/>
  <c r="K21" i="1"/>
  <c r="E48" i="1"/>
  <c r="F47" i="1" s="1"/>
  <c r="D28" i="1"/>
  <c r="G21" i="4"/>
  <c r="G22" i="4" s="1"/>
  <c r="G10" i="4"/>
  <c r="H10" i="4" s="1"/>
  <c r="I10" i="4" s="1"/>
  <c r="F17" i="4"/>
  <c r="J48" i="6" l="1"/>
  <c r="J42" i="6"/>
  <c r="L23" i="6"/>
  <c r="J30" i="6"/>
  <c r="J32" i="6" s="1"/>
  <c r="J10" i="1"/>
  <c r="H50" i="6"/>
  <c r="H52" i="6" s="1"/>
  <c r="H59" i="6" s="1"/>
  <c r="L19" i="6"/>
  <c r="N12" i="6"/>
  <c r="L20" i="6"/>
  <c r="N15" i="6"/>
  <c r="J14" i="1"/>
  <c r="H17" i="1"/>
  <c r="H15" i="4"/>
  <c r="I16" i="4" s="1"/>
  <c r="H13" i="4"/>
  <c r="I14" i="4" s="1"/>
  <c r="I30" i="1"/>
  <c r="J30" i="1" s="1"/>
  <c r="J15" i="1"/>
  <c r="J13" i="1"/>
  <c r="J16" i="1"/>
  <c r="J11" i="1"/>
  <c r="H14" i="4"/>
  <c r="H16" i="4"/>
  <c r="I46" i="1"/>
  <c r="K40" i="1"/>
  <c r="K46" i="1"/>
  <c r="F37" i="1"/>
  <c r="F35" i="1"/>
  <c r="F36" i="1"/>
  <c r="F28" i="1"/>
  <c r="H28" i="1"/>
  <c r="J24" i="1"/>
  <c r="J23" i="1"/>
  <c r="J22" i="1"/>
  <c r="J21" i="1"/>
  <c r="J25" i="1"/>
  <c r="J26" i="1"/>
  <c r="J27" i="1"/>
  <c r="O10" i="1"/>
  <c r="M17" i="1"/>
  <c r="M21" i="1"/>
  <c r="K28" i="1"/>
  <c r="K30" i="1" s="1"/>
  <c r="L30" i="1" s="1"/>
  <c r="L10" i="1"/>
  <c r="L15" i="1"/>
  <c r="L16" i="1"/>
  <c r="L12" i="1"/>
  <c r="L14" i="1"/>
  <c r="L13" i="1"/>
  <c r="L11" i="1"/>
  <c r="F39" i="1"/>
  <c r="F42" i="1"/>
  <c r="F43" i="1"/>
  <c r="F38" i="1"/>
  <c r="F44" i="1"/>
  <c r="F48" i="1"/>
  <c r="F41" i="1"/>
  <c r="F45" i="1"/>
  <c r="F46" i="1"/>
  <c r="F40" i="1"/>
  <c r="F34" i="1"/>
  <c r="E50" i="1"/>
  <c r="F50" i="1" s="1"/>
  <c r="H21" i="4"/>
  <c r="H22" i="4" s="1"/>
  <c r="J10" i="4"/>
  <c r="G17" i="4"/>
  <c r="J50" i="6" l="1"/>
  <c r="J52" i="6" s="1"/>
  <c r="J59" i="6" s="1"/>
  <c r="J17" i="1"/>
  <c r="L48" i="6"/>
  <c r="L42" i="6"/>
  <c r="L30" i="6"/>
  <c r="L32" i="6" s="1"/>
  <c r="N23" i="6"/>
  <c r="P15" i="6"/>
  <c r="N20" i="6"/>
  <c r="P12" i="6"/>
  <c r="N19" i="6"/>
  <c r="I13" i="4"/>
  <c r="I15" i="4"/>
  <c r="M40" i="1"/>
  <c r="M46" i="1"/>
  <c r="L17" i="1"/>
  <c r="M28" i="1"/>
  <c r="M30" i="1" s="1"/>
  <c r="N30" i="1" s="1"/>
  <c r="O21" i="1"/>
  <c r="Q10" i="1"/>
  <c r="O17" i="1"/>
  <c r="L23" i="1"/>
  <c r="L24" i="1"/>
  <c r="L22" i="1"/>
  <c r="L26" i="1"/>
  <c r="L25" i="1"/>
  <c r="L27" i="1"/>
  <c r="L21" i="1"/>
  <c r="N11" i="1"/>
  <c r="N16" i="1"/>
  <c r="N14" i="1"/>
  <c r="N12" i="1"/>
  <c r="N10" i="1"/>
  <c r="N15" i="1"/>
  <c r="N13" i="1"/>
  <c r="J28" i="1"/>
  <c r="G48" i="1"/>
  <c r="H47" i="1" s="1"/>
  <c r="I21" i="4"/>
  <c r="I22" i="4" s="1"/>
  <c r="K10" i="4"/>
  <c r="H17" i="4"/>
  <c r="L50" i="6" l="1"/>
  <c r="L52" i="6" s="1"/>
  <c r="L59" i="6" s="1"/>
  <c r="P19" i="6"/>
  <c r="R12" i="6"/>
  <c r="P20" i="6"/>
  <c r="R15" i="6"/>
  <c r="N42" i="6"/>
  <c r="N48" i="6"/>
  <c r="P23" i="6"/>
  <c r="N30" i="6"/>
  <c r="N32" i="6" s="1"/>
  <c r="J15" i="4"/>
  <c r="K15" i="4" s="1"/>
  <c r="L15" i="4" s="1"/>
  <c r="M15" i="4" s="1"/>
  <c r="N15" i="4" s="1"/>
  <c r="O15" i="4" s="1"/>
  <c r="J16" i="4"/>
  <c r="J13" i="4"/>
  <c r="K14" i="4" s="1"/>
  <c r="I17" i="4"/>
  <c r="J14" i="4"/>
  <c r="O40" i="1"/>
  <c r="O46" i="1"/>
  <c r="H37" i="1"/>
  <c r="H35" i="1"/>
  <c r="H36" i="1"/>
  <c r="P12" i="1"/>
  <c r="P15" i="1"/>
  <c r="P13" i="1"/>
  <c r="P16" i="1"/>
  <c r="P11" i="1"/>
  <c r="P10" i="1"/>
  <c r="P14" i="1"/>
  <c r="Q21" i="1"/>
  <c r="O28" i="1"/>
  <c r="O30" i="1" s="1"/>
  <c r="P30" i="1" s="1"/>
  <c r="N17" i="1"/>
  <c r="L28" i="1"/>
  <c r="S10" i="1"/>
  <c r="Q17" i="1"/>
  <c r="N27" i="1"/>
  <c r="N21" i="1"/>
  <c r="N23" i="1"/>
  <c r="N22" i="1"/>
  <c r="N25" i="1"/>
  <c r="N26" i="1"/>
  <c r="N24" i="1"/>
  <c r="H38" i="1"/>
  <c r="I48" i="1" s="1"/>
  <c r="J47" i="1" s="1"/>
  <c r="H44" i="1"/>
  <c r="H40" i="1"/>
  <c r="G50" i="1"/>
  <c r="H50" i="1" s="1"/>
  <c r="H39" i="1"/>
  <c r="H43" i="1"/>
  <c r="H41" i="1"/>
  <c r="H42" i="1"/>
  <c r="H46" i="1"/>
  <c r="H48" i="1"/>
  <c r="H45" i="1"/>
  <c r="H34" i="1"/>
  <c r="J21" i="4"/>
  <c r="J22" i="4" s="1"/>
  <c r="L10" i="4"/>
  <c r="P30" i="6" l="1"/>
  <c r="P32" i="6" s="1"/>
  <c r="R23" i="6"/>
  <c r="T15" i="6"/>
  <c r="R20" i="6"/>
  <c r="T12" i="6"/>
  <c r="R19" i="6"/>
  <c r="N50" i="6"/>
  <c r="N52" i="6" s="1"/>
  <c r="N59" i="6" s="1"/>
  <c r="P42" i="6"/>
  <c r="P48" i="6"/>
  <c r="K16" i="4"/>
  <c r="L16" i="4"/>
  <c r="K13" i="4"/>
  <c r="J17" i="4"/>
  <c r="N16" i="4"/>
  <c r="M16" i="4"/>
  <c r="Q40" i="1"/>
  <c r="Q46" i="1"/>
  <c r="J37" i="1"/>
  <c r="J35" i="1"/>
  <c r="J36" i="1"/>
  <c r="N28" i="1"/>
  <c r="P17" i="1"/>
  <c r="U10" i="1"/>
  <c r="S17" i="1"/>
  <c r="S21" i="1"/>
  <c r="Q28" i="1"/>
  <c r="Q30" i="1" s="1"/>
  <c r="R30" i="1" s="1"/>
  <c r="R11" i="1"/>
  <c r="R12" i="1"/>
  <c r="R16" i="1"/>
  <c r="R14" i="1"/>
  <c r="R10" i="1"/>
  <c r="R15" i="1"/>
  <c r="R13" i="1"/>
  <c r="P21" i="1"/>
  <c r="P24" i="1"/>
  <c r="P22" i="1"/>
  <c r="P25" i="1"/>
  <c r="P23" i="1"/>
  <c r="P26" i="1"/>
  <c r="P27" i="1"/>
  <c r="J40" i="1"/>
  <c r="J38" i="1"/>
  <c r="J48" i="1"/>
  <c r="J41" i="1"/>
  <c r="J34" i="1"/>
  <c r="J44" i="1"/>
  <c r="J43" i="1"/>
  <c r="J39" i="1"/>
  <c r="J46" i="1"/>
  <c r="I50" i="1"/>
  <c r="J50" i="1" s="1"/>
  <c r="J45" i="1"/>
  <c r="J42" i="1"/>
  <c r="K21" i="4"/>
  <c r="K22" i="4" s="1"/>
  <c r="M10" i="4"/>
  <c r="V12" i="6" l="1"/>
  <c r="T19" i="6"/>
  <c r="V15" i="6"/>
  <c r="T20" i="6"/>
  <c r="P50" i="6"/>
  <c r="P52" i="6" s="1"/>
  <c r="P59" i="6" s="1"/>
  <c r="R42" i="6"/>
  <c r="R48" i="6"/>
  <c r="T23" i="6"/>
  <c r="R30" i="6"/>
  <c r="R32" i="6" s="1"/>
  <c r="O16" i="4"/>
  <c r="L13" i="4"/>
  <c r="M14" i="4" s="1"/>
  <c r="L14" i="4"/>
  <c r="K17" i="4"/>
  <c r="S40" i="1"/>
  <c r="S46" i="1"/>
  <c r="R17" i="1"/>
  <c r="P28" i="1"/>
  <c r="R25" i="1"/>
  <c r="R27" i="1"/>
  <c r="R26" i="1"/>
  <c r="R23" i="1"/>
  <c r="R22" i="1"/>
  <c r="R21" i="1"/>
  <c r="R24" i="1"/>
  <c r="T10" i="1"/>
  <c r="T15" i="1"/>
  <c r="T13" i="1"/>
  <c r="T14" i="1"/>
  <c r="T11" i="1"/>
  <c r="T16" i="1"/>
  <c r="T12" i="1"/>
  <c r="U21" i="1"/>
  <c r="S28" i="1"/>
  <c r="W10" i="1"/>
  <c r="U17" i="1"/>
  <c r="K48" i="1"/>
  <c r="L47" i="1" s="1"/>
  <c r="L21" i="4"/>
  <c r="L22" i="4" s="1"/>
  <c r="N10" i="4"/>
  <c r="V20" i="6" l="1"/>
  <c r="X15" i="6"/>
  <c r="X12" i="6"/>
  <c r="V19" i="6"/>
  <c r="V23" i="6"/>
  <c r="T30" i="6"/>
  <c r="T32" i="6" s="1"/>
  <c r="R50" i="6"/>
  <c r="R52" i="6" s="1"/>
  <c r="R59" i="6" s="1"/>
  <c r="T48" i="6"/>
  <c r="T42" i="6"/>
  <c r="M13" i="4"/>
  <c r="L17" i="4"/>
  <c r="U40" i="1"/>
  <c r="U46" i="1"/>
  <c r="L37" i="1"/>
  <c r="L35" i="1"/>
  <c r="L36" i="1"/>
  <c r="T17" i="1"/>
  <c r="R28" i="1"/>
  <c r="Y10" i="1"/>
  <c r="W17" i="1"/>
  <c r="W21" i="1"/>
  <c r="U28" i="1"/>
  <c r="V11" i="1"/>
  <c r="V16" i="1"/>
  <c r="V14" i="1"/>
  <c r="V12" i="1"/>
  <c r="V10" i="1"/>
  <c r="V13" i="1"/>
  <c r="V15" i="1"/>
  <c r="T24" i="1"/>
  <c r="T26" i="1"/>
  <c r="T23" i="1"/>
  <c r="T25" i="1"/>
  <c r="T21" i="1"/>
  <c r="T27" i="1"/>
  <c r="T22" i="1"/>
  <c r="S30" i="1"/>
  <c r="T30" i="1" s="1"/>
  <c r="L34" i="1"/>
  <c r="L43" i="1"/>
  <c r="L39" i="1"/>
  <c r="L40" i="1"/>
  <c r="L44" i="1"/>
  <c r="L42" i="1"/>
  <c r="L46" i="1"/>
  <c r="L41" i="1"/>
  <c r="K50" i="1"/>
  <c r="L50" i="1" s="1"/>
  <c r="L38" i="1"/>
  <c r="L48" i="1"/>
  <c r="L45" i="1"/>
  <c r="M21" i="4"/>
  <c r="M22" i="4" s="1"/>
  <c r="O10" i="4"/>
  <c r="T50" i="6" l="1"/>
  <c r="T52" i="6" s="1"/>
  <c r="T59" i="6" s="1"/>
  <c r="X23" i="6"/>
  <c r="V30" i="6"/>
  <c r="V32" i="6" s="1"/>
  <c r="Z12" i="6"/>
  <c r="X19" i="6"/>
  <c r="V42" i="6"/>
  <c r="V48" i="6"/>
  <c r="Z15" i="6"/>
  <c r="X20" i="6"/>
  <c r="N13" i="4"/>
  <c r="N14" i="4"/>
  <c r="O14" i="4" s="1"/>
  <c r="M17" i="4"/>
  <c r="W40" i="1"/>
  <c r="W46" i="1"/>
  <c r="T28" i="1"/>
  <c r="V17" i="1"/>
  <c r="U30" i="1"/>
  <c r="V30" i="1" s="1"/>
  <c r="V27" i="1"/>
  <c r="V21" i="1"/>
  <c r="V26" i="1"/>
  <c r="V24" i="1"/>
  <c r="V23" i="1"/>
  <c r="V22" i="1"/>
  <c r="V25" i="1"/>
  <c r="X12" i="1"/>
  <c r="X15" i="1"/>
  <c r="X13" i="1"/>
  <c r="X11" i="1"/>
  <c r="X16" i="1"/>
  <c r="X14" i="1"/>
  <c r="X10" i="1"/>
  <c r="Y21" i="1"/>
  <c r="W28" i="1"/>
  <c r="Y17" i="1"/>
  <c r="AA10" i="1"/>
  <c r="AA17" i="1" s="1"/>
  <c r="M48" i="1"/>
  <c r="N47" i="1" s="1"/>
  <c r="N21" i="4"/>
  <c r="N22" i="4" s="1"/>
  <c r="AB12" i="6" l="1"/>
  <c r="Z19" i="6"/>
  <c r="Z23" i="6"/>
  <c r="X30" i="6"/>
  <c r="AB15" i="6"/>
  <c r="Z20" i="6"/>
  <c r="V50" i="6"/>
  <c r="V52" i="6" s="1"/>
  <c r="V59" i="6" s="1"/>
  <c r="X42" i="6"/>
  <c r="X48" i="6"/>
  <c r="X32" i="6"/>
  <c r="O13" i="4"/>
  <c r="N17" i="4"/>
  <c r="Y40" i="1"/>
  <c r="AA40" i="1" s="1"/>
  <c r="Y46" i="1"/>
  <c r="AA46" i="1" s="1"/>
  <c r="N37" i="1"/>
  <c r="N35" i="1"/>
  <c r="N36" i="1"/>
  <c r="X24" i="1"/>
  <c r="X23" i="1"/>
  <c r="X22" i="1"/>
  <c r="X21" i="1"/>
  <c r="X27" i="1"/>
  <c r="X25" i="1"/>
  <c r="X26" i="1"/>
  <c r="X17" i="1"/>
  <c r="W30" i="1"/>
  <c r="X30" i="1" s="1"/>
  <c r="Z11" i="1"/>
  <c r="Z12" i="1"/>
  <c r="Z16" i="1"/>
  <c r="Z14" i="1"/>
  <c r="Z10" i="1"/>
  <c r="Z13" i="1"/>
  <c r="Z15" i="1"/>
  <c r="Y28" i="1"/>
  <c r="Y30" i="1" s="1"/>
  <c r="Z30" i="1" s="1"/>
  <c r="AA21" i="1"/>
  <c r="AA28" i="1" s="1"/>
  <c r="AA30" i="1" s="1"/>
  <c r="V28" i="1"/>
  <c r="N42" i="1"/>
  <c r="N39" i="1"/>
  <c r="N34" i="1"/>
  <c r="N46" i="1"/>
  <c r="N40" i="1"/>
  <c r="N43" i="1"/>
  <c r="N38" i="1"/>
  <c r="O48" i="1" s="1"/>
  <c r="P47" i="1" s="1"/>
  <c r="N44" i="1"/>
  <c r="N48" i="1"/>
  <c r="N45" i="1"/>
  <c r="N41" i="1"/>
  <c r="M50" i="1"/>
  <c r="N50" i="1" s="1"/>
  <c r="O21" i="4"/>
  <c r="AB23" i="6" l="1"/>
  <c r="AB30" i="6" s="1"/>
  <c r="Z30" i="6"/>
  <c r="Z32" i="6" s="1"/>
  <c r="AB19" i="6"/>
  <c r="AB32" i="6" s="1"/>
  <c r="X50" i="6"/>
  <c r="X52" i="6" s="1"/>
  <c r="X59" i="6" s="1"/>
  <c r="Z42" i="6"/>
  <c r="Z48" i="6"/>
  <c r="AB48" i="6" s="1"/>
  <c r="P37" i="1"/>
  <c r="P35" i="1"/>
  <c r="P36" i="1"/>
  <c r="Z25" i="1"/>
  <c r="Z23" i="1"/>
  <c r="Z26" i="1"/>
  <c r="Z27" i="1"/>
  <c r="Z22" i="1"/>
  <c r="Z21" i="1"/>
  <c r="Z24" i="1"/>
  <c r="Z17" i="1"/>
  <c r="X28" i="1"/>
  <c r="P48" i="1"/>
  <c r="P38" i="1"/>
  <c r="Q48" i="1" s="1"/>
  <c r="R47" i="1" s="1"/>
  <c r="P34" i="1"/>
  <c r="P39" i="1"/>
  <c r="P40" i="1"/>
  <c r="P44" i="1"/>
  <c r="P43" i="1"/>
  <c r="P45" i="1"/>
  <c r="O50" i="1"/>
  <c r="P50" i="1" s="1"/>
  <c r="P42" i="1"/>
  <c r="P46" i="1"/>
  <c r="P41" i="1"/>
  <c r="AB42" i="6" l="1"/>
  <c r="AB50" i="6" s="1"/>
  <c r="AB52" i="6" s="1"/>
  <c r="Z50" i="6"/>
  <c r="Z52" i="6" s="1"/>
  <c r="Z59" i="6" s="1"/>
  <c r="R37" i="1"/>
  <c r="R35" i="1"/>
  <c r="R36" i="1"/>
  <c r="Z28" i="1"/>
  <c r="R38" i="1"/>
  <c r="R40" i="1"/>
  <c r="R45" i="1"/>
  <c r="R48" i="1"/>
  <c r="R42" i="1"/>
  <c r="R41" i="1"/>
  <c r="R34" i="1"/>
  <c r="Q50" i="1"/>
  <c r="R50" i="1" s="1"/>
  <c r="R44" i="1"/>
  <c r="R39" i="1"/>
  <c r="R46" i="1"/>
  <c r="R43" i="1"/>
  <c r="S48" i="1" l="1"/>
  <c r="T47" i="1" s="1"/>
  <c r="T37" i="1" l="1"/>
  <c r="T35" i="1"/>
  <c r="T36" i="1"/>
  <c r="T45" i="1"/>
  <c r="T34" i="1"/>
  <c r="T48" i="1"/>
  <c r="T38" i="1"/>
  <c r="U48" i="1" s="1"/>
  <c r="V47" i="1" s="1"/>
  <c r="S50" i="1"/>
  <c r="T50" i="1" s="1"/>
  <c r="T39" i="1"/>
  <c r="T42" i="1"/>
  <c r="T46" i="1"/>
  <c r="T41" i="1"/>
  <c r="T40" i="1"/>
  <c r="T44" i="1"/>
  <c r="T43" i="1"/>
  <c r="V37" i="1" l="1"/>
  <c r="V35" i="1"/>
  <c r="V36" i="1"/>
  <c r="V39" i="1"/>
  <c r="V42" i="1"/>
  <c r="V45" i="1"/>
  <c r="V41" i="1"/>
  <c r="V43" i="1"/>
  <c r="V46" i="1"/>
  <c r="V38" i="1"/>
  <c r="V44" i="1"/>
  <c r="V48" i="1"/>
  <c r="V40" i="1"/>
  <c r="V34" i="1"/>
  <c r="U50" i="1"/>
  <c r="V50" i="1" s="1"/>
  <c r="W48" i="1" l="1"/>
  <c r="X47" i="1" s="1"/>
  <c r="X36" i="1" l="1"/>
  <c r="X37" i="1"/>
  <c r="X35" i="1"/>
  <c r="X34" i="1"/>
  <c r="X46" i="1"/>
  <c r="X42" i="1"/>
  <c r="W50" i="1"/>
  <c r="X50" i="1" s="1"/>
  <c r="X38" i="1"/>
  <c r="X41" i="1"/>
  <c r="X40" i="1"/>
  <c r="X44" i="1"/>
  <c r="X39" i="1"/>
  <c r="X43" i="1"/>
  <c r="X48" i="1"/>
  <c r="X45" i="1"/>
  <c r="Y48" i="1" l="1"/>
  <c r="Z47" i="1" s="1"/>
  <c r="Z36" i="1" l="1"/>
  <c r="Z37" i="1"/>
  <c r="Z35" i="1"/>
  <c r="Z44" i="1"/>
  <c r="Z48" i="1"/>
  <c r="Z38" i="1"/>
  <c r="AA48" i="1" s="1"/>
  <c r="AA50" i="1" s="1"/>
  <c r="Y50" i="1"/>
  <c r="Z50" i="1" s="1"/>
  <c r="Z34" i="1"/>
  <c r="Z41" i="1"/>
  <c r="Z46" i="1"/>
  <c r="Z40" i="1"/>
  <c r="Z39" i="1"/>
  <c r="Z45" i="1"/>
  <c r="Z43" i="1"/>
  <c r="Z42" i="1"/>
</calcChain>
</file>

<file path=xl/sharedStrings.xml><?xml version="1.0" encoding="utf-8"?>
<sst xmlns="http://schemas.openxmlformats.org/spreadsheetml/2006/main" count="384" uniqueCount="261">
  <si>
    <t>Profit and Loss Projection (12 Months)</t>
  </si>
  <si>
    <t>Enter your Company Name here</t>
  </si>
  <si>
    <t>Fiscal Year Begins</t>
  </si>
  <si>
    <t xml:space="preserve">  %</t>
  </si>
  <si>
    <t>YEARLY</t>
  </si>
  <si>
    <t>Revenue (Sales)</t>
  </si>
  <si>
    <t>Total Revenue (Sales)</t>
  </si>
  <si>
    <t>Cost of Sales</t>
  </si>
  <si>
    <t>Total Cost of Sales</t>
  </si>
  <si>
    <t>Gross Profit</t>
  </si>
  <si>
    <t>Expenses</t>
  </si>
  <si>
    <t>Outside services</t>
  </si>
  <si>
    <t>Supplies</t>
  </si>
  <si>
    <t>Repairs and maintenance</t>
  </si>
  <si>
    <t>Advertising</t>
  </si>
  <si>
    <t>Rent</t>
  </si>
  <si>
    <t>Telephone</t>
  </si>
  <si>
    <t>Utilities</t>
  </si>
  <si>
    <t>Insurance</t>
  </si>
  <si>
    <t>Depreciation</t>
  </si>
  <si>
    <t>Other expenses (specify)</t>
  </si>
  <si>
    <t>Total Expenses</t>
  </si>
  <si>
    <t>Net Profit</t>
  </si>
  <si>
    <t>Profit and Loss Statement</t>
  </si>
  <si>
    <t>&lt;Company Name&gt;</t>
  </si>
  <si>
    <t>For the &lt;Month or Year&gt; ending &lt;Month-Day-Year&gt;</t>
  </si>
  <si>
    <t>Gross margin  [L/J]</t>
  </si>
  <si>
    <t>Return on sales  [T/J]</t>
  </si>
  <si>
    <t>Prior Period</t>
  </si>
  <si>
    <t>Current Period</t>
  </si>
  <si>
    <t>Current Period as % of Sales</t>
  </si>
  <si>
    <t xml:space="preserve">  % Change from Prior Period</t>
  </si>
  <si>
    <t>Sales Revenue</t>
  </si>
  <si>
    <t>Product/Service 1</t>
  </si>
  <si>
    <t>Product/Service 2</t>
  </si>
  <si>
    <t>Product/Service 3</t>
  </si>
  <si>
    <t>Product/Service 4</t>
  </si>
  <si>
    <t>Total Sales Revenue  [J]</t>
  </si>
  <si>
    <t>Total Cost of Sales  [K]</t>
  </si>
  <si>
    <t>Gross Profit  [L=J-K]</t>
  </si>
  <si>
    <t>Operating Expenses</t>
  </si>
  <si>
    <t>Sales and Marketing</t>
  </si>
  <si>
    <t>Direct marketing</t>
  </si>
  <si>
    <t>Total Sales and Marketing Expenses  [M]</t>
  </si>
  <si>
    <t>Research and Development</t>
  </si>
  <si>
    <t>Technology licenses</t>
  </si>
  <si>
    <t xml:space="preserve">Patents </t>
  </si>
  <si>
    <t>Total Research and Development Expenses  [N]</t>
  </si>
  <si>
    <t>General and Adminstrative</t>
  </si>
  <si>
    <t>Wages and salaries</t>
  </si>
  <si>
    <t>Meals and entertainment</t>
  </si>
  <si>
    <t>Total General and Adminstrative Expenses  [O]</t>
  </si>
  <si>
    <t>Total Operating Expenses  [P=M+N+O]</t>
  </si>
  <si>
    <t>Income from Operations  [Q=L-P]</t>
  </si>
  <si>
    <t>Other Income  [R]</t>
  </si>
  <si>
    <t>Taxes</t>
  </si>
  <si>
    <t>Income taxes</t>
  </si>
  <si>
    <t>Payroll taxes</t>
  </si>
  <si>
    <t>Real estate taxes</t>
  </si>
  <si>
    <t>Other taxes (specify)</t>
  </si>
  <si>
    <t>Total Taxes  [S]</t>
  </si>
  <si>
    <t>Net Profit  [T=Q+R-S]</t>
  </si>
  <si>
    <t>Last update:</t>
  </si>
  <si>
    <t>Assumptions sheet</t>
  </si>
  <si>
    <t>Company Name:</t>
  </si>
  <si>
    <t>dba of site:</t>
  </si>
  <si>
    <t>Address of site:</t>
  </si>
  <si>
    <t>Population within 20 miles:</t>
  </si>
  <si>
    <t>Traffic draw area:</t>
  </si>
  <si>
    <t>Population within 20 mile area:</t>
  </si>
  <si>
    <t>Monthly drive by traffic:</t>
  </si>
  <si>
    <t>Monthly walk by traffic:</t>
  </si>
  <si>
    <t>Avg. household income:</t>
  </si>
  <si>
    <t>Average Age of population.</t>
  </si>
  <si>
    <t>% caucasian</t>
  </si>
  <si>
    <t>% other</t>
  </si>
  <si>
    <t>% Black</t>
  </si>
  <si>
    <t>% Asian</t>
  </si>
  <si>
    <t>% Hispanic</t>
  </si>
  <si>
    <t>Primary target market population:</t>
  </si>
  <si>
    <t># women 25-55 years old:</t>
  </si>
  <si>
    <t>Competition:</t>
  </si>
  <si>
    <t>various private practice physicians</t>
  </si>
  <si>
    <t>Indirect expenses:</t>
  </si>
  <si>
    <t>Office rent</t>
  </si>
  <si>
    <t>per square foot per year</t>
  </si>
  <si>
    <t>Office square feet</t>
  </si>
  <si>
    <t>Cost per Square foot/build out</t>
  </si>
  <si>
    <t>Telephone services</t>
  </si>
  <si>
    <t>monthly</t>
  </si>
  <si>
    <t>(prop./liability/Med.Dir)</t>
  </si>
  <si>
    <t>Misc. office expenses</t>
  </si>
  <si>
    <t>Personnel</t>
  </si>
  <si>
    <t>Cleaning service</t>
  </si>
  <si>
    <t>annually</t>
  </si>
  <si>
    <t>Consultant's hourly wages</t>
  </si>
  <si>
    <t>per hour maximum</t>
  </si>
  <si>
    <t>Consultant's hrs. per month</t>
  </si>
  <si>
    <t>Consultant's wages</t>
  </si>
  <si>
    <t>Consultant's bonus on sales</t>
  </si>
  <si>
    <t>Receptionist's hourly wages</t>
  </si>
  <si>
    <t>Receptionist's hrs. per month</t>
  </si>
  <si>
    <t>Medical Director's guarantee</t>
  </si>
  <si>
    <t>Medical Director's Bonus</t>
  </si>
  <si>
    <t>Direct expenses:</t>
  </si>
  <si>
    <t>of gross revenues produced</t>
  </si>
  <si>
    <t>cost of goods to be sold</t>
  </si>
  <si>
    <t>Laser treatment consumables</t>
  </si>
  <si>
    <t>Financial factors:</t>
  </si>
  <si>
    <t>Cost of Facility Build out</t>
  </si>
  <si>
    <t xml:space="preserve">Initial Clinical supplies </t>
  </si>
  <si>
    <t>Cost of Equipment</t>
  </si>
  <si>
    <t>Major equipment, est. cost and use:</t>
  </si>
  <si>
    <t>YEAR 1</t>
  </si>
  <si>
    <t>YEAR 2</t>
  </si>
  <si>
    <t>equipment</t>
  </si>
  <si>
    <t>year 1</t>
  </si>
  <si>
    <t>year 2</t>
  </si>
  <si>
    <t>Hair laser</t>
  </si>
  <si>
    <t>IPL</t>
  </si>
  <si>
    <t>Microdermabrator diamond tip</t>
  </si>
  <si>
    <t>Computer system</t>
  </si>
  <si>
    <t>hardware/software</t>
  </si>
  <si>
    <t xml:space="preserve">Telephony system </t>
  </si>
  <si>
    <t>simple system</t>
  </si>
  <si>
    <t>CC machine</t>
  </si>
  <si>
    <t>5000K Ott Lamps</t>
  </si>
  <si>
    <t>Skin Preparation Carts</t>
  </si>
  <si>
    <t>2-$100 treatment carts</t>
  </si>
  <si>
    <t>Treatment tables</t>
  </si>
  <si>
    <t>Treatment stools</t>
  </si>
  <si>
    <t>Digital cameras</t>
  </si>
  <si>
    <t>42" plasma screen</t>
  </si>
  <si>
    <t>furniture</t>
  </si>
  <si>
    <t>DVD multidisc players</t>
  </si>
  <si>
    <t>DVD players</t>
  </si>
  <si>
    <r>
      <t xml:space="preserve">     </t>
    </r>
    <r>
      <rPr>
        <b/>
        <sz val="10"/>
        <rFont val="Arial"/>
        <family val="2"/>
      </rPr>
      <t>Total</t>
    </r>
  </si>
  <si>
    <t>Initial therapy supplies requirements:</t>
  </si>
  <si>
    <t>Injectables supplies</t>
  </si>
  <si>
    <t>solutions,syringes,etc.</t>
  </si>
  <si>
    <t>tape, gauze, aloe vera, etc.</t>
  </si>
  <si>
    <t>Skin Care/make up products</t>
  </si>
  <si>
    <r>
      <t xml:space="preserve">    </t>
    </r>
    <r>
      <rPr>
        <b/>
        <sz val="10"/>
        <rFont val="Arial"/>
        <family val="2"/>
      </rPr>
      <t xml:space="preserve"> Total</t>
    </r>
  </si>
  <si>
    <t>Revenue Projection assumptions</t>
  </si>
  <si>
    <t>1st year</t>
  </si>
  <si>
    <t>2nd year</t>
  </si>
  <si>
    <t>Close percentage at Consultation</t>
  </si>
  <si>
    <t>"Location Walk-ins"</t>
  </si>
  <si>
    <t>"Affiliation Program"</t>
  </si>
  <si>
    <t>Number of referral centers</t>
  </si>
  <si>
    <t>"Client Referrals"</t>
  </si>
  <si>
    <t>Personal referrals from clients p/mo.</t>
  </si>
  <si>
    <t>"Community Involvement"</t>
  </si>
  <si>
    <t>"Advertising responses"</t>
  </si>
  <si>
    <t>Advertising responses per month</t>
  </si>
  <si>
    <t>Telephone inquiry conversions %</t>
  </si>
  <si>
    <t>New Consultations from Advertising per mo.</t>
  </si>
  <si>
    <t>Treatment factors</t>
  </si>
  <si>
    <t>Number of treatments per patient</t>
  </si>
  <si>
    <t>Hair reduction</t>
  </si>
  <si>
    <t>Sclerotherapy</t>
  </si>
  <si>
    <t>microdermabrasions x .5 hrs. each</t>
  </si>
  <si>
    <t>per .5 hr. treatment</t>
  </si>
  <si>
    <t>Products sales</t>
  </si>
  <si>
    <t>gross profit margin</t>
  </si>
  <si>
    <t>est. use per month per client</t>
  </si>
  <si>
    <t>Internet service</t>
  </si>
  <si>
    <t>Total Communications expenses</t>
  </si>
  <si>
    <t>PA/NP hourly wages</t>
  </si>
  <si>
    <t>PA/NP hours per month</t>
  </si>
  <si>
    <t>treatment tables @ $500 each</t>
  </si>
  <si>
    <t>$50 matching stools</t>
  </si>
  <si>
    <t>Floor lamps</t>
  </si>
  <si>
    <t>Documentation system</t>
  </si>
  <si>
    <t>Large screen video displays</t>
  </si>
  <si>
    <t>Office furn</t>
  </si>
  <si>
    <t>General supplies</t>
  </si>
  <si>
    <t>after treatment products, for sale Inventory</t>
  </si>
  <si>
    <t>Operating Capital Needed</t>
  </si>
  <si>
    <t>USED</t>
  </si>
  <si>
    <t>5+ mile radius</t>
  </si>
  <si>
    <t>Inventory of resale items at Start-Up</t>
  </si>
  <si>
    <t>Total Start Up Capital</t>
  </si>
  <si>
    <t>40 hrs. per week</t>
  </si>
  <si>
    <t>Aesthetician hourly wages</t>
  </si>
  <si>
    <t>Aesthetician hrs. per month</t>
  </si>
  <si>
    <t>Aesthetician wages</t>
  </si>
  <si>
    <t>Aesthetician's bonus on sales</t>
  </si>
  <si>
    <t>40 hr week</t>
  </si>
  <si>
    <t>per hour</t>
  </si>
  <si>
    <t>PA/NP wages</t>
  </si>
  <si>
    <t>PA/NP bonus on sales</t>
  </si>
  <si>
    <t>Receptionist's wages</t>
  </si>
  <si>
    <t>Receptionist's bonus on sales</t>
  </si>
  <si>
    <t>Office Manager guarantee</t>
  </si>
  <si>
    <t>Office Managers' Bonus</t>
  </si>
  <si>
    <t>Lotions and other products</t>
  </si>
  <si>
    <t>Private practice referral or retail walkin</t>
  </si>
  <si>
    <t># of referrals per month each</t>
  </si>
  <si>
    <t>referral center activity per month</t>
  </si>
  <si>
    <t>Event referrals /month</t>
  </si>
  <si>
    <t>Service limited to: Botox, Filler, Sclerotherapy, Laser Hair Removal, IPL treatment, Microdermabrasion, Facials</t>
  </si>
  <si>
    <t>Cost of Botox/Filler per tx</t>
  </si>
  <si>
    <t>Assume 3 areas of botox (48 units) and 1 filler</t>
  </si>
  <si>
    <t>Non-laser treatment consumable</t>
  </si>
  <si>
    <t>Cost of Sclero</t>
  </si>
  <si>
    <t>Average laser service</t>
  </si>
  <si>
    <t xml:space="preserve">Average sclerotherapy </t>
  </si>
  <si>
    <t>Average Botox/Filler</t>
  </si>
  <si>
    <t>Average microderm/facial</t>
  </si>
  <si>
    <t>Average monthly skin products sale per person</t>
  </si>
  <si>
    <t>Services sales distribution:</t>
  </si>
  <si>
    <t>Laser Hair</t>
  </si>
  <si>
    <t>Botox</t>
  </si>
  <si>
    <t>Filler</t>
  </si>
  <si>
    <t>New Treatments per month</t>
  </si>
  <si>
    <t>Total</t>
  </si>
  <si>
    <t>Labor Projection</t>
  </si>
  <si>
    <t>Sclero</t>
  </si>
  <si>
    <t>Facials/Microderm</t>
  </si>
  <si>
    <t>Patient increase per month between year 1 and 2</t>
  </si>
  <si>
    <t>Monthly increase factor</t>
  </si>
  <si>
    <t>Assume each procedure takes 1/2 hour</t>
  </si>
  <si>
    <t>Hours of Booking per Month</t>
  </si>
  <si>
    <t>Aesthetician Hours per Month</t>
  </si>
  <si>
    <t>PA/NP Hours per Month</t>
  </si>
  <si>
    <t>Facial/Microderm</t>
  </si>
  <si>
    <t>Product</t>
  </si>
  <si>
    <t>Microdermabrasion/Facials</t>
  </si>
  <si>
    <t>Total percent skin care sales</t>
  </si>
  <si>
    <t>Communication</t>
  </si>
  <si>
    <t>Misc Office expenses</t>
  </si>
  <si>
    <t>of total revenue</t>
  </si>
  <si>
    <t>PA/NP hours per week</t>
  </si>
  <si>
    <t>Aesthetician hours per week</t>
  </si>
  <si>
    <t>Cleaning Service</t>
  </si>
  <si>
    <t>PA/NP Pay</t>
  </si>
  <si>
    <t>Aesthetician Pay</t>
  </si>
  <si>
    <t>Receptionist Pay</t>
  </si>
  <si>
    <t>Consultant Pay</t>
  </si>
  <si>
    <t>Office Manager Pay</t>
  </si>
  <si>
    <t>Employee Bonus</t>
  </si>
  <si>
    <t>Unearned Income *</t>
  </si>
  <si>
    <t>Laser Hair Pre-pay Balance</t>
  </si>
  <si>
    <t>IPL Pre-pay Balance</t>
  </si>
  <si>
    <t>Not included are Property Tax, Sales Tax, Federal Tax, State Tax, Local Tax, Payroll Tax</t>
  </si>
  <si>
    <t>Not included are Merchant Credit Card Fees, Equipment Maintanence, Employee Recruiting, Graphic Design, Printing, Professinoal Fees, License and Permits Fees</t>
  </si>
  <si>
    <t>Not included are Loan repayment (if loan was taken out) and interest charges</t>
  </si>
  <si>
    <t>Cash Flow Projection (12 Months)</t>
  </si>
  <si>
    <t>Running Balance</t>
  </si>
  <si>
    <t>Start Up Cost</t>
  </si>
  <si>
    <t>Initial Investment</t>
  </si>
  <si>
    <t>% Total</t>
  </si>
  <si>
    <t>Sclerotherapy/Botox/Filler</t>
  </si>
  <si>
    <t>ONLY Change data in yellow boxes)</t>
  </si>
  <si>
    <t>DO NOT CHANGE ANY DATA HERE</t>
  </si>
  <si>
    <t>* Income unearned because laser hair and ipl was presold in a package of 6</t>
  </si>
  <si>
    <t>Not included are Merchant Credit Card Fees, Equipment Maintanence, Employee Recruiting, Graphic Design, Printing, Professional Fees, License and Permits Fees</t>
  </si>
  <si>
    <t>Goal / Budget</t>
  </si>
  <si>
    <t>% Change from Goal / Budget</t>
  </si>
  <si>
    <t>Your Aesthetic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</si>
</sst>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mmm\-yy;@"/>
    <numFmt numFmtId="165" formatCode="#,##0.0"/>
    <numFmt numFmtId="166" formatCode="0.0"/>
    <numFmt numFmtId="167" formatCode="0.0%"/>
    <numFmt numFmtId="168" formatCode="[$-409]mmm\-yy;@"/>
    <numFmt numFmtId="169" formatCode="_(&quot;$&quot;* #,##0_);_(&quot;$&quot;* \(#,##0\);_(&quot;$&quot;* &quot;-&quot;??_);_(@_)"/>
    <numFmt numFmtId="170" formatCode="&quot;$&quot;#,##0"/>
    <numFmt numFmtId="171" formatCode="0.000000"/>
  </numFmts>
  <fonts count="35" x14ac:knownFonts="1">
    <font>
      <sz val="10"/>
      <name val="Arial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"/>
      <family val="2"/>
    </font>
    <font>
      <b/>
      <sz val="14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sz val="8"/>
      <name val="Tahoma"/>
      <family val="2"/>
    </font>
    <font>
      <b/>
      <sz val="9"/>
      <name val="Arial"/>
      <family val="2"/>
    </font>
    <font>
      <b/>
      <sz val="8"/>
      <name val="Tahoma"/>
      <family val="2"/>
    </font>
    <font>
      <sz val="9"/>
      <name val="Arial"/>
      <family val="2"/>
    </font>
    <font>
      <b/>
      <sz val="8"/>
      <color indexed="56"/>
      <name val="Tahoma"/>
      <family val="2"/>
    </font>
    <font>
      <b/>
      <i/>
      <sz val="8"/>
      <name val="Tahoma"/>
      <family val="2"/>
    </font>
    <font>
      <sz val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b/>
      <i/>
      <u/>
      <sz val="14"/>
      <name val="Arial"/>
      <family val="2"/>
    </font>
    <font>
      <b/>
      <sz val="9"/>
      <color indexed="10"/>
      <name val="Arial"/>
      <family val="2"/>
    </font>
    <font>
      <b/>
      <sz val="10"/>
      <color rgb="FFFF0000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</borders>
  <cellStyleXfs count="4">
    <xf numFmtId="0" fontId="0" fillId="0" borderId="0" applyNumberFormat="0" applyFont="0" applyFill="0" applyBorder="0" applyAlignment="0" applyProtection="0"/>
    <xf numFmtId="44" fontId="1" fillId="0" borderId="0" applyNumberFormat="0" applyFont="0" applyFill="0" applyBorder="0" applyAlignment="0" applyProtection="0"/>
    <xf numFmtId="9" fontId="1" fillId="0" borderId="0" applyNumberFormat="0" applyFont="0" applyFill="0" applyBorder="0" applyAlignment="0" applyProtection="0"/>
    <xf numFmtId="0" fontId="13" fillId="0" borderId="0"/>
  </cellStyleXfs>
  <cellXfs count="190"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/>
    <xf numFmtId="0" fontId="5" fillId="0" borderId="0" xfId="0" applyNumberFormat="1" applyFont="1" applyFill="1" applyBorder="1" applyAlignment="1"/>
    <xf numFmtId="0" fontId="6" fillId="0" borderId="1" xfId="0" applyNumberFormat="1" applyFont="1" applyFill="1" applyBorder="1" applyAlignment="1"/>
    <xf numFmtId="0" fontId="3" fillId="0" borderId="0" xfId="0" applyNumberFormat="1" applyFont="1" applyFill="1" applyBorder="1" applyAlignment="1">
      <alignment wrapText="1"/>
    </xf>
    <xf numFmtId="0" fontId="3" fillId="0" borderId="3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>
      <alignment horizontal="right"/>
    </xf>
    <xf numFmtId="0" fontId="8" fillId="0" borderId="5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wrapText="1"/>
    </xf>
    <xf numFmtId="164" fontId="8" fillId="0" borderId="2" xfId="0" applyNumberFormat="1" applyFont="1" applyFill="1" applyBorder="1" applyAlignment="1">
      <alignment horizontal="center" wrapText="1"/>
    </xf>
    <xf numFmtId="9" fontId="8" fillId="0" borderId="2" xfId="0" applyNumberFormat="1" applyFont="1" applyFill="1" applyBorder="1" applyAlignment="1">
      <alignment horizontal="center" wrapText="1"/>
    </xf>
    <xf numFmtId="10" fontId="8" fillId="0" borderId="2" xfId="0" applyNumberFormat="1" applyFont="1" applyFill="1" applyBorder="1" applyAlignment="1">
      <alignment horizontal="center" wrapText="1"/>
    </xf>
    <xf numFmtId="0" fontId="8" fillId="0" borderId="6" xfId="0" applyNumberFormat="1" applyFont="1" applyFill="1" applyBorder="1" applyAlignment="1"/>
    <xf numFmtId="3" fontId="9" fillId="0" borderId="7" xfId="0" applyNumberFormat="1" applyFont="1" applyFill="1" applyBorder="1" applyAlignment="1">
      <alignment wrapText="1"/>
    </xf>
    <xf numFmtId="3" fontId="9" fillId="0" borderId="7" xfId="0" applyNumberFormat="1" applyFont="1" applyFill="1" applyBorder="1" applyAlignment="1">
      <alignment horizontal="right" wrapText="1"/>
    </xf>
    <xf numFmtId="0" fontId="9" fillId="0" borderId="2" xfId="0" applyNumberFormat="1" applyFont="1" applyFill="1" applyBorder="1" applyAlignment="1">
      <alignment wrapText="1"/>
    </xf>
    <xf numFmtId="166" fontId="9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wrapText="1"/>
    </xf>
    <xf numFmtId="0" fontId="3" fillId="0" borderId="3" xfId="0" applyNumberFormat="1" applyFont="1" applyFill="1" applyBorder="1" applyAlignment="1">
      <alignment wrapText="1"/>
    </xf>
    <xf numFmtId="0" fontId="8" fillId="0" borderId="2" xfId="0" applyNumberFormat="1" applyFont="1" applyFill="1" applyBorder="1" applyAlignment="1">
      <alignment wrapText="1"/>
    </xf>
    <xf numFmtId="166" fontId="8" fillId="0" borderId="2" xfId="0" applyNumberFormat="1" applyFont="1" applyFill="1" applyBorder="1" applyAlignment="1">
      <alignment wrapText="1"/>
    </xf>
    <xf numFmtId="3" fontId="8" fillId="0" borderId="2" xfId="0" applyNumberFormat="1" applyFont="1" applyFill="1" applyBorder="1" applyAlignment="1">
      <alignment wrapText="1"/>
    </xf>
    <xf numFmtId="166" fontId="8" fillId="0" borderId="2" xfId="0" applyNumberFormat="1" applyFont="1" applyFill="1" applyBorder="1" applyAlignment="1">
      <alignment horizontal="right" wrapText="1"/>
    </xf>
    <xf numFmtId="0" fontId="6" fillId="0" borderId="3" xfId="0" applyNumberFormat="1" applyFont="1" applyFill="1" applyBorder="1" applyAlignment="1"/>
    <xf numFmtId="0" fontId="9" fillId="0" borderId="6" xfId="0" applyNumberFormat="1" applyFont="1" applyFill="1" applyBorder="1" applyAlignment="1">
      <alignment wrapText="1"/>
    </xf>
    <xf numFmtId="166" fontId="9" fillId="0" borderId="7" xfId="0" applyNumberFormat="1" applyFont="1" applyFill="1" applyBorder="1" applyAlignment="1">
      <alignment horizontal="right" wrapText="1"/>
    </xf>
    <xf numFmtId="10" fontId="9" fillId="0" borderId="7" xfId="0" applyNumberFormat="1" applyFont="1" applyFill="1" applyBorder="1" applyAlignment="1">
      <alignment wrapText="1"/>
    </xf>
    <xf numFmtId="166" fontId="9" fillId="0" borderId="2" xfId="0" applyNumberFormat="1" applyFont="1" applyFill="1" applyBorder="1" applyAlignment="1">
      <alignment wrapText="1"/>
    </xf>
    <xf numFmtId="0" fontId="11" fillId="0" borderId="4" xfId="0" applyNumberFormat="1" applyFont="1" applyFill="1" applyBorder="1" applyAlignment="1">
      <alignment wrapText="1"/>
    </xf>
    <xf numFmtId="3" fontId="12" fillId="0" borderId="4" xfId="0" applyNumberFormat="1" applyFont="1" applyFill="1" applyBorder="1" applyAlignment="1">
      <alignment wrapText="1"/>
    </xf>
    <xf numFmtId="3" fontId="12" fillId="0" borderId="4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/>
    <xf numFmtId="0" fontId="13" fillId="0" borderId="0" xfId="0" applyFont="1"/>
    <xf numFmtId="0" fontId="17" fillId="0" borderId="0" xfId="0" applyFont="1" applyFill="1" applyBorder="1" applyAlignment="1">
      <alignment horizontal="center" wrapText="1"/>
    </xf>
    <xf numFmtId="3" fontId="18" fillId="0" borderId="0" xfId="0" applyNumberFormat="1" applyFont="1" applyFill="1" applyBorder="1" applyAlignment="1">
      <alignment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18" fillId="0" borderId="12" xfId="0" applyNumberFormat="1" applyFont="1" applyFill="1" applyBorder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7" fillId="0" borderId="0" xfId="0" applyFont="1" applyAlignment="1">
      <alignment horizontal="left"/>
    </xf>
    <xf numFmtId="0" fontId="0" fillId="0" borderId="0" xfId="0"/>
    <xf numFmtId="7" fontId="0" fillId="0" borderId="0" xfId="0" applyNumberFormat="1"/>
    <xf numFmtId="0" fontId="28" fillId="0" borderId="0" xfId="0" quotePrefix="1" applyFont="1" applyAlignment="1">
      <alignment horizontal="left"/>
    </xf>
    <xf numFmtId="0" fontId="0" fillId="0" borderId="0" xfId="0" quotePrefix="1" applyAlignment="1">
      <alignment horizontal="left"/>
    </xf>
    <xf numFmtId="0" fontId="29" fillId="0" borderId="0" xfId="0" applyFont="1"/>
    <xf numFmtId="22" fontId="0" fillId="0" borderId="0" xfId="0" quotePrefix="1" applyNumberFormat="1" applyAlignment="1">
      <alignment horizontal="left"/>
    </xf>
    <xf numFmtId="3" fontId="0" fillId="0" borderId="0" xfId="0" applyNumberFormat="1"/>
    <xf numFmtId="9" fontId="0" fillId="0" borderId="0" xfId="0" applyNumberFormat="1"/>
    <xf numFmtId="167" fontId="0" fillId="0" borderId="0" xfId="0" applyNumberFormat="1"/>
    <xf numFmtId="0" fontId="24" fillId="0" borderId="0" xfId="0" applyFont="1"/>
    <xf numFmtId="0" fontId="26" fillId="0" borderId="0" xfId="0" applyFont="1"/>
    <xf numFmtId="169" fontId="0" fillId="0" borderId="0" xfId="1" applyNumberFormat="1" applyFont="1"/>
    <xf numFmtId="1" fontId="0" fillId="0" borderId="0" xfId="0" applyNumberFormat="1"/>
    <xf numFmtId="170" fontId="0" fillId="0" borderId="0" xfId="0" applyNumberFormat="1"/>
    <xf numFmtId="5" fontId="0" fillId="0" borderId="0" xfId="0" applyNumberFormat="1"/>
    <xf numFmtId="5" fontId="0" fillId="0" borderId="0" xfId="2" applyNumberFormat="1" applyFont="1"/>
    <xf numFmtId="171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170" fontId="26" fillId="0" borderId="0" xfId="0" applyNumberFormat="1" applyFont="1"/>
    <xf numFmtId="5" fontId="26" fillId="0" borderId="0" xfId="0" applyNumberFormat="1" applyFont="1"/>
    <xf numFmtId="1" fontId="26" fillId="0" borderId="0" xfId="0" applyNumberFormat="1" applyFont="1"/>
    <xf numFmtId="9" fontId="26" fillId="0" borderId="0" xfId="0" applyNumberFormat="1" applyFont="1"/>
    <xf numFmtId="0" fontId="26" fillId="0" borderId="0" xfId="0" applyFont="1" applyAlignment="1">
      <alignment horizontal="right"/>
    </xf>
    <xf numFmtId="37" fontId="26" fillId="0" borderId="0" xfId="0" applyNumberFormat="1" applyFont="1"/>
    <xf numFmtId="166" fontId="0" fillId="0" borderId="0" xfId="0" applyNumberFormat="1"/>
    <xf numFmtId="0" fontId="0" fillId="0" borderId="0" xfId="0" applyFont="1"/>
    <xf numFmtId="167" fontId="0" fillId="0" borderId="0" xfId="0" applyNumberFormat="1" applyFill="1"/>
    <xf numFmtId="167" fontId="0" fillId="2" borderId="0" xfId="0" applyNumberFormat="1" applyFill="1"/>
    <xf numFmtId="3" fontId="0" fillId="2" borderId="0" xfId="0" applyNumberFormat="1" applyFill="1"/>
    <xf numFmtId="0" fontId="0" fillId="2" borderId="0" xfId="0" applyFill="1"/>
    <xf numFmtId="6" fontId="0" fillId="2" borderId="0" xfId="0" applyNumberFormat="1" applyFill="1"/>
    <xf numFmtId="37" fontId="0" fillId="2" borderId="0" xfId="0" applyNumberFormat="1" applyFill="1"/>
    <xf numFmtId="7" fontId="0" fillId="2" borderId="0" xfId="0" applyNumberFormat="1" applyFill="1"/>
    <xf numFmtId="1" fontId="0" fillId="2" borderId="0" xfId="0" applyNumberFormat="1" applyFill="1"/>
    <xf numFmtId="170" fontId="0" fillId="2" borderId="0" xfId="0" applyNumberFormat="1" applyFill="1"/>
    <xf numFmtId="0" fontId="13" fillId="2" borderId="0" xfId="0" applyFont="1" applyFill="1"/>
    <xf numFmtId="5" fontId="0" fillId="2" borderId="0" xfId="0" applyNumberFormat="1" applyFill="1"/>
    <xf numFmtId="5" fontId="0" fillId="0" borderId="0" xfId="0" applyNumberFormat="1" applyFill="1"/>
    <xf numFmtId="9" fontId="0" fillId="2" borderId="0" xfId="2" applyFont="1" applyFill="1"/>
    <xf numFmtId="169" fontId="0" fillId="2" borderId="0" xfId="1" applyNumberFormat="1" applyFont="1" applyFill="1"/>
    <xf numFmtId="9" fontId="0" fillId="2" borderId="0" xfId="0" applyNumberFormat="1" applyFill="1"/>
    <xf numFmtId="1" fontId="0" fillId="2" borderId="0" xfId="1" applyNumberFormat="1" applyFont="1" applyFill="1"/>
    <xf numFmtId="9" fontId="0" fillId="2" borderId="0" xfId="1" applyNumberFormat="1" applyFont="1" applyFill="1"/>
    <xf numFmtId="9" fontId="0" fillId="2" borderId="0" xfId="2" applyNumberFormat="1" applyFont="1" applyFill="1"/>
    <xf numFmtId="169" fontId="0" fillId="0" borderId="0" xfId="1" applyNumberFormat="1" applyFont="1" applyFill="1"/>
    <xf numFmtId="0" fontId="0" fillId="2" borderId="0" xfId="1" applyNumberFormat="1" applyFont="1" applyFill="1"/>
    <xf numFmtId="9" fontId="26" fillId="2" borderId="0" xfId="0" applyNumberFormat="1" applyFont="1" applyFill="1"/>
    <xf numFmtId="1" fontId="26" fillId="2" borderId="0" xfId="0" applyNumberFormat="1" applyFont="1" applyFill="1"/>
    <xf numFmtId="0" fontId="26" fillId="2" borderId="0" xfId="0" applyFont="1" applyFill="1"/>
    <xf numFmtId="0" fontId="13" fillId="0" borderId="0" xfId="0" applyNumberFormat="1" applyFont="1" applyFill="1" applyBorder="1" applyAlignment="1"/>
    <xf numFmtId="0" fontId="6" fillId="0" borderId="3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/>
    <xf numFmtId="164" fontId="7" fillId="0" borderId="2" xfId="0" applyNumberFormat="1" applyFont="1" applyFill="1" applyBorder="1" applyAlignment="1">
      <alignment horizontal="left"/>
    </xf>
    <xf numFmtId="165" fontId="10" fillId="0" borderId="2" xfId="0" applyNumberFormat="1" applyFont="1" applyFill="1" applyBorder="1" applyAlignment="1">
      <alignment wrapText="1"/>
    </xf>
    <xf numFmtId="3" fontId="10" fillId="0" borderId="2" xfId="0" applyNumberFormat="1" applyFont="1" applyFill="1" applyBorder="1" applyAlignment="1">
      <alignment wrapText="1"/>
    </xf>
    <xf numFmtId="165" fontId="30" fillId="0" borderId="2" xfId="0" applyNumberFormat="1" applyFont="1" applyFill="1" applyBorder="1" applyAlignment="1">
      <alignment wrapText="1"/>
    </xf>
    <xf numFmtId="3" fontId="30" fillId="0" borderId="2" xfId="0" applyNumberFormat="1" applyFont="1" applyFill="1" applyBorder="1" applyAlignment="1">
      <alignment wrapText="1"/>
    </xf>
    <xf numFmtId="9" fontId="0" fillId="0" borderId="0" xfId="0" applyNumberFormat="1" applyFill="1"/>
    <xf numFmtId="9" fontId="0" fillId="0" borderId="0" xfId="2" applyFont="1" applyFill="1"/>
    <xf numFmtId="0" fontId="0" fillId="0" borderId="0" xfId="1" applyNumberFormat="1" applyFont="1" applyFill="1"/>
    <xf numFmtId="0" fontId="8" fillId="0" borderId="6" xfId="0" applyNumberFormat="1" applyFont="1" applyFill="1" applyBorder="1" applyAlignment="1">
      <alignment wrapText="1"/>
    </xf>
    <xf numFmtId="3" fontId="8" fillId="0" borderId="7" xfId="0" applyNumberFormat="1" applyFont="1" applyFill="1" applyBorder="1" applyAlignment="1">
      <alignment wrapText="1"/>
    </xf>
    <xf numFmtId="166" fontId="8" fillId="0" borderId="7" xfId="0" applyNumberFormat="1" applyFont="1" applyFill="1" applyBorder="1" applyAlignment="1">
      <alignment horizontal="right" wrapText="1"/>
    </xf>
    <xf numFmtId="0" fontId="6" fillId="0" borderId="0" xfId="0" applyNumberFormat="1" applyFont="1" applyFill="1" applyBorder="1" applyAlignment="1"/>
    <xf numFmtId="0" fontId="31" fillId="0" borderId="0" xfId="0" applyNumberFormat="1" applyFont="1" applyFill="1" applyBorder="1" applyAlignment="1"/>
    <xf numFmtId="0" fontId="8" fillId="0" borderId="7" xfId="0" applyNumberFormat="1" applyFont="1" applyFill="1" applyBorder="1" applyAlignment="1"/>
    <xf numFmtId="0" fontId="8" fillId="0" borderId="7" xfId="0" applyNumberFormat="1" applyFont="1" applyFill="1" applyBorder="1" applyAlignment="1">
      <alignment wrapText="1"/>
    </xf>
    <xf numFmtId="0" fontId="9" fillId="0" borderId="7" xfId="0" applyNumberFormat="1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7" xfId="0" applyNumberFormat="1" applyFont="1" applyFill="1" applyBorder="1" applyAlignment="1">
      <alignment horizontal="center" wrapText="1"/>
    </xf>
    <xf numFmtId="164" fontId="8" fillId="0" borderId="7" xfId="0" applyNumberFormat="1" applyFont="1" applyFill="1" applyBorder="1" applyAlignment="1">
      <alignment horizontal="center" wrapText="1"/>
    </xf>
    <xf numFmtId="9" fontId="8" fillId="0" borderId="7" xfId="0" applyNumberFormat="1" applyFont="1" applyFill="1" applyBorder="1" applyAlignment="1">
      <alignment horizontal="center" wrapText="1"/>
    </xf>
    <xf numFmtId="10" fontId="8" fillId="0" borderId="7" xfId="0" applyNumberFormat="1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wrapText="1"/>
    </xf>
    <xf numFmtId="0" fontId="11" fillId="0" borderId="0" xfId="0" applyNumberFormat="1" applyFont="1" applyFill="1" applyBorder="1" applyAlignment="1">
      <alignment wrapText="1"/>
    </xf>
    <xf numFmtId="3" fontId="12" fillId="0" borderId="0" xfId="0" applyNumberFormat="1" applyFont="1" applyFill="1" applyBorder="1" applyAlignment="1">
      <alignment wrapText="1"/>
    </xf>
    <xf numFmtId="3" fontId="12" fillId="0" borderId="0" xfId="0" applyNumberFormat="1" applyFont="1" applyFill="1" applyBorder="1" applyAlignment="1">
      <alignment horizontal="right" wrapText="1"/>
    </xf>
    <xf numFmtId="0" fontId="9" fillId="0" borderId="3" xfId="0" applyNumberFormat="1" applyFont="1" applyFill="1" applyBorder="1" applyAlignment="1">
      <alignment wrapText="1"/>
    </xf>
    <xf numFmtId="0" fontId="21" fillId="0" borderId="0" xfId="0" applyNumberFormat="1" applyFont="1" applyFill="1" applyBorder="1" applyAlignment="1"/>
    <xf numFmtId="0" fontId="8" fillId="0" borderId="3" xfId="0" applyNumberFormat="1" applyFont="1" applyFill="1" applyBorder="1" applyAlignment="1"/>
    <xf numFmtId="0" fontId="9" fillId="0" borderId="0" xfId="0" applyNumberFormat="1" applyFont="1" applyFill="1" applyBorder="1" applyAlignment="1">
      <alignment wrapText="1"/>
    </xf>
    <xf numFmtId="0" fontId="9" fillId="0" borderId="4" xfId="0" applyNumberFormat="1" applyFont="1" applyFill="1" applyBorder="1" applyAlignment="1">
      <alignment wrapText="1"/>
    </xf>
    <xf numFmtId="3" fontId="9" fillId="0" borderId="4" xfId="0" applyNumberFormat="1" applyFont="1" applyFill="1" applyBorder="1" applyAlignment="1">
      <alignment wrapText="1"/>
    </xf>
    <xf numFmtId="3" fontId="9" fillId="0" borderId="4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wrapText="1"/>
    </xf>
    <xf numFmtId="3" fontId="9" fillId="0" borderId="0" xfId="0" applyNumberFormat="1" applyFont="1" applyFill="1" applyBorder="1" applyAlignment="1">
      <alignment horizontal="right" wrapText="1"/>
    </xf>
    <xf numFmtId="0" fontId="21" fillId="0" borderId="0" xfId="0" applyFont="1"/>
    <xf numFmtId="0" fontId="32" fillId="0" borderId="0" xfId="0" applyNumberFormat="1" applyFont="1" applyFill="1" applyBorder="1" applyAlignment="1">
      <alignment wrapText="1"/>
    </xf>
    <xf numFmtId="5" fontId="32" fillId="0" borderId="0" xfId="0" applyNumberFormat="1" applyFont="1" applyFill="1" applyBorder="1" applyAlignment="1">
      <alignment wrapText="1"/>
    </xf>
    <xf numFmtId="3" fontId="32" fillId="0" borderId="0" xfId="0" applyNumberFormat="1" applyFont="1" applyFill="1" applyBorder="1" applyAlignment="1">
      <alignment wrapText="1"/>
    </xf>
    <xf numFmtId="3" fontId="32" fillId="0" borderId="0" xfId="0" applyNumberFormat="1" applyFont="1" applyFill="1" applyBorder="1" applyAlignment="1">
      <alignment horizontal="right" wrapText="1"/>
    </xf>
    <xf numFmtId="0" fontId="33" fillId="0" borderId="0" xfId="0" applyNumberFormat="1" applyFont="1" applyFill="1" applyBorder="1" applyAlignment="1"/>
    <xf numFmtId="165" fontId="10" fillId="0" borderId="7" xfId="0" applyNumberFormat="1" applyFont="1" applyFill="1" applyBorder="1" applyAlignment="1">
      <alignment wrapText="1"/>
    </xf>
    <xf numFmtId="164" fontId="7" fillId="2" borderId="2" xfId="0" applyNumberFormat="1" applyFont="1" applyFill="1" applyBorder="1" applyAlignment="1">
      <alignment horizontal="left"/>
    </xf>
    <xf numFmtId="0" fontId="34" fillId="2" borderId="0" xfId="0" applyNumberFormat="1" applyFont="1" applyFill="1" applyBorder="1" applyAlignment="1"/>
    <xf numFmtId="0" fontId="34" fillId="0" borderId="0" xfId="0" applyNumberFormat="1" applyFont="1" applyFill="1" applyBorder="1" applyAlignment="1"/>
    <xf numFmtId="164" fontId="7" fillId="0" borderId="3" xfId="0" applyNumberFormat="1" applyFont="1" applyFill="1" applyBorder="1" applyAlignment="1">
      <alignment horizontal="left"/>
    </xf>
    <xf numFmtId="5" fontId="21" fillId="0" borderId="0" xfId="0" applyNumberFormat="1" applyFont="1" applyFill="1"/>
    <xf numFmtId="3" fontId="18" fillId="2" borderId="12" xfId="0" applyNumberFormat="1" applyFont="1" applyFill="1" applyBorder="1" applyAlignment="1">
      <alignment vertical="center" wrapText="1"/>
    </xf>
    <xf numFmtId="3" fontId="18" fillId="2" borderId="13" xfId="0" applyNumberFormat="1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applyFont="1" applyFill="1" applyAlignment="1">
      <alignment horizontal="center"/>
    </xf>
    <xf numFmtId="0" fontId="13" fillId="0" borderId="0" xfId="0" applyFont="1" applyFill="1"/>
    <xf numFmtId="0" fontId="16" fillId="0" borderId="0" xfId="0" applyFont="1" applyFill="1"/>
    <xf numFmtId="17" fontId="15" fillId="0" borderId="0" xfId="0" applyNumberFormat="1" applyFont="1" applyFill="1" applyAlignment="1">
      <alignment horizontal="left"/>
    </xf>
    <xf numFmtId="0" fontId="16" fillId="0" borderId="8" xfId="0" applyFont="1" applyFill="1" applyBorder="1"/>
    <xf numFmtId="167" fontId="16" fillId="0" borderId="9" xfId="0" applyNumberFormat="1" applyFont="1" applyFill="1" applyBorder="1" applyAlignment="1">
      <alignment horizontal="center"/>
    </xf>
    <xf numFmtId="0" fontId="16" fillId="0" borderId="10" xfId="0" applyFont="1" applyFill="1" applyBorder="1"/>
    <xf numFmtId="167" fontId="16" fillId="0" borderId="11" xfId="0" applyNumberFormat="1" applyFont="1" applyFill="1" applyBorder="1" applyAlignment="1">
      <alignment horizontal="center"/>
    </xf>
    <xf numFmtId="17" fontId="18" fillId="0" borderId="12" xfId="0" applyNumberFormat="1" applyFont="1" applyFill="1" applyBorder="1" applyAlignment="1" applyProtection="1">
      <alignment horizontal="center" wrapText="1"/>
    </xf>
    <xf numFmtId="168" fontId="18" fillId="0" borderId="12" xfId="0" applyNumberFormat="1" applyFont="1" applyFill="1" applyBorder="1" applyAlignment="1" applyProtection="1">
      <alignment horizontal="center" wrapText="1"/>
    </xf>
    <xf numFmtId="167" fontId="18" fillId="0" borderId="12" xfId="0" applyNumberFormat="1" applyFont="1" applyFill="1" applyBorder="1" applyAlignment="1" applyProtection="1">
      <alignment horizontal="center" wrapText="1"/>
    </xf>
    <xf numFmtId="0" fontId="18" fillId="0" borderId="12" xfId="0" applyFont="1" applyFill="1" applyBorder="1" applyAlignment="1" applyProtection="1">
      <alignment horizontal="center" wrapText="1"/>
    </xf>
    <xf numFmtId="0" fontId="19" fillId="0" borderId="0" xfId="0" applyFont="1" applyFill="1" applyAlignment="1">
      <alignment horizontal="center" textRotation="60" wrapText="1"/>
    </xf>
    <xf numFmtId="0" fontId="20" fillId="0" borderId="0" xfId="0" applyFont="1" applyFill="1" applyBorder="1" applyAlignment="1">
      <alignment horizontal="center" vertical="center" textRotation="60" wrapText="1"/>
    </xf>
    <xf numFmtId="17" fontId="20" fillId="0" borderId="0" xfId="0" applyNumberFormat="1" applyFont="1" applyFill="1" applyBorder="1" applyAlignment="1" applyProtection="1">
      <alignment horizontal="center" vertical="center" wrapText="1"/>
    </xf>
    <xf numFmtId="168" fontId="20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vertical="center"/>
    </xf>
    <xf numFmtId="3" fontId="21" fillId="0" borderId="0" xfId="0" applyNumberFormat="1" applyFont="1" applyFill="1" applyAlignment="1">
      <alignment wrapText="1"/>
    </xf>
    <xf numFmtId="0" fontId="18" fillId="0" borderId="12" xfId="0" applyFont="1" applyFill="1" applyBorder="1" applyAlignment="1">
      <alignment vertical="center" wrapText="1"/>
    </xf>
    <xf numFmtId="167" fontId="18" fillId="0" borderId="12" xfId="0" applyNumberFormat="1" applyFont="1" applyFill="1" applyBorder="1" applyAlignment="1">
      <alignment horizontal="center" vertical="center" wrapText="1"/>
    </xf>
    <xf numFmtId="167" fontId="18" fillId="0" borderId="13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3" fontId="20" fillId="0" borderId="12" xfId="0" applyNumberFormat="1" applyFont="1" applyFill="1" applyBorder="1" applyAlignment="1">
      <alignment vertical="center" wrapText="1"/>
    </xf>
    <xf numFmtId="167" fontId="20" fillId="0" borderId="12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 wrapText="1"/>
    </xf>
    <xf numFmtId="3" fontId="21" fillId="0" borderId="0" xfId="0" applyNumberFormat="1" applyFont="1" applyFill="1" applyBorder="1" applyAlignment="1">
      <alignment wrapText="1"/>
    </xf>
    <xf numFmtId="0" fontId="20" fillId="0" borderId="0" xfId="0" applyFont="1" applyFill="1" applyBorder="1" applyAlignment="1">
      <alignment vertical="center" wrapText="1"/>
    </xf>
    <xf numFmtId="3" fontId="20" fillId="0" borderId="0" xfId="0" applyNumberFormat="1" applyFont="1" applyFill="1" applyBorder="1" applyAlignment="1">
      <alignment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167" fontId="18" fillId="0" borderId="14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3" fontId="25" fillId="0" borderId="0" xfId="0" applyNumberFormat="1" applyFont="1" applyFill="1" applyAlignment="1">
      <alignment wrapText="1"/>
    </xf>
    <xf numFmtId="3" fontId="25" fillId="0" borderId="0" xfId="0" applyNumberFormat="1" applyFont="1" applyFill="1" applyAlignment="1">
      <alignment horizontal="center" wrapText="1"/>
    </xf>
    <xf numFmtId="0" fontId="13" fillId="0" borderId="0" xfId="0" applyFont="1" applyFill="1" applyAlignment="1"/>
    <xf numFmtId="3" fontId="13" fillId="0" borderId="0" xfId="0" applyNumberFormat="1" applyFont="1" applyFill="1" applyAlignment="1"/>
    <xf numFmtId="3" fontId="13" fillId="0" borderId="0" xfId="0" applyNumberFormat="1" applyFont="1" applyFill="1" applyAlignment="1">
      <alignment horizontal="center"/>
    </xf>
  </cellXfs>
  <cellStyles count="4">
    <cellStyle name="Currency" xfId="1" builtinId="4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0000FF"/>
      <rgbColor rgb="00FF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8</xdr:row>
      <xdr:rowOff>352425</xdr:rowOff>
    </xdr:from>
    <xdr:to>
      <xdr:col>11</xdr:col>
      <xdr:colOff>523875</xdr:colOff>
      <xdr:row>22</xdr:row>
      <xdr:rowOff>28575</xdr:rowOff>
    </xdr:to>
    <xdr:sp macro="" textlink="">
      <xdr:nvSpPr>
        <xdr:cNvPr id="2" name="TextBox 1"/>
        <xdr:cNvSpPr txBox="1"/>
      </xdr:nvSpPr>
      <xdr:spPr>
        <a:xfrm>
          <a:off x="7515225" y="1514475"/>
          <a:ext cx="2390775" cy="2076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rgbClr val="FF0000"/>
              </a:solidFill>
            </a:rPr>
            <a:t>This</a:t>
          </a:r>
          <a:r>
            <a:rPr lang="en-US" sz="1100" b="1" baseline="0">
              <a:solidFill>
                <a:srgbClr val="FF0000"/>
              </a:solidFill>
            </a:rPr>
            <a:t> is a handy tool to use month to month.</a:t>
          </a:r>
        </a:p>
        <a:p>
          <a:r>
            <a:rPr lang="en-US" sz="1100" b="1" baseline="0">
              <a:solidFill>
                <a:srgbClr val="FF0000"/>
              </a:solidFill>
            </a:rPr>
            <a:t>Enter the amount of money made or lost  in the prior month in the "Prior Period".  Enter the desired sales goal or budgeted expense in "Goal/Budget".  Enter the amount of money made or lost during the past month.   The chart will automatically calculate values that are relavant to the health of your business.</a:t>
          </a:r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&amp;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Labor"/>
      <sheetName val="Revenues"/>
      <sheetName val="Direct Expenses"/>
      <sheetName val="Equip"/>
      <sheetName val="Summary"/>
      <sheetName val="CashFlow"/>
    </sheetNames>
    <sheetDataSet>
      <sheetData sheetId="0"/>
      <sheetData sheetId="1"/>
      <sheetData sheetId="2"/>
      <sheetData sheetId="3"/>
      <sheetData sheetId="4">
        <row r="16">
          <cell r="M16" t="str">
            <v>1</v>
          </cell>
          <cell r="T16" t="str">
            <v>1</v>
          </cell>
        </row>
        <row r="36">
          <cell r="M36" t="str">
            <v>1</v>
          </cell>
          <cell r="AA36" t="str">
            <v>1</v>
          </cell>
        </row>
        <row r="56">
          <cell r="M56" t="str">
            <v>1</v>
          </cell>
          <cell r="T56" t="str">
            <v>1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1"/>
  <sheetViews>
    <sheetView tabSelected="1" zoomScaleNormal="100" workbookViewId="0"/>
  </sheetViews>
  <sheetFormatPr defaultRowHeight="12.75" outlineLevelRow="2" x14ac:dyDescent="0.2"/>
  <cols>
    <col min="1" max="1" width="25.7109375" style="45" customWidth="1"/>
    <col min="2" max="2" width="23.140625" style="45" customWidth="1"/>
    <col min="3" max="3" width="27.7109375" style="45" customWidth="1"/>
    <col min="4" max="4" width="12.85546875" style="46" customWidth="1"/>
    <col min="5" max="5" width="11" style="45" bestFit="1" customWidth="1"/>
    <col min="6" max="6" width="10.140625" style="45" customWidth="1"/>
    <col min="7" max="7" width="10.7109375" style="45" customWidth="1"/>
    <col min="8" max="9" width="9.140625" style="45"/>
    <col min="10" max="10" width="19.85546875" style="45" customWidth="1"/>
    <col min="11" max="16384" width="9.140625" style="45"/>
  </cols>
  <sheetData>
    <row r="1" spans="1:4" ht="18" x14ac:dyDescent="0.25">
      <c r="A1" s="44" t="s">
        <v>260</v>
      </c>
    </row>
    <row r="2" spans="1:4" ht="15" x14ac:dyDescent="0.2">
      <c r="A2" s="47" t="s">
        <v>201</v>
      </c>
    </row>
    <row r="3" spans="1:4" x14ac:dyDescent="0.2">
      <c r="A3" s="141" t="s">
        <v>254</v>
      </c>
    </row>
    <row r="5" spans="1:4" ht="18.75" x14ac:dyDescent="0.3">
      <c r="A5" s="48" t="s">
        <v>62</v>
      </c>
      <c r="C5" s="49" t="s">
        <v>63</v>
      </c>
    </row>
    <row r="6" spans="1:4" x14ac:dyDescent="0.2">
      <c r="A6" s="50">
        <f ca="1">NOW()</f>
        <v>40695.027049652781</v>
      </c>
    </row>
    <row r="7" spans="1:4" x14ac:dyDescent="0.2">
      <c r="A7" s="45" t="s">
        <v>64</v>
      </c>
    </row>
    <row r="8" spans="1:4" x14ac:dyDescent="0.2">
      <c r="A8" s="45" t="s">
        <v>65</v>
      </c>
    </row>
    <row r="9" spans="1:4" x14ac:dyDescent="0.2">
      <c r="A9" s="45" t="s">
        <v>66</v>
      </c>
    </row>
    <row r="11" spans="1:4" x14ac:dyDescent="0.2">
      <c r="A11" s="45" t="s">
        <v>67</v>
      </c>
      <c r="D11" s="78">
        <v>2500042</v>
      </c>
    </row>
    <row r="12" spans="1:4" x14ac:dyDescent="0.2">
      <c r="A12" s="45" t="s">
        <v>68</v>
      </c>
      <c r="C12" s="38" t="s">
        <v>180</v>
      </c>
    </row>
    <row r="13" spans="1:4" x14ac:dyDescent="0.2">
      <c r="A13" s="45" t="s">
        <v>69</v>
      </c>
      <c r="C13" s="75">
        <v>2500042</v>
      </c>
    </row>
    <row r="14" spans="1:4" x14ac:dyDescent="0.2">
      <c r="A14" s="45" t="s">
        <v>70</v>
      </c>
      <c r="C14" s="75"/>
    </row>
    <row r="15" spans="1:4" x14ac:dyDescent="0.2">
      <c r="A15" s="45" t="s">
        <v>71</v>
      </c>
      <c r="C15" s="76"/>
    </row>
    <row r="16" spans="1:4" x14ac:dyDescent="0.2">
      <c r="A16" s="45" t="s">
        <v>72</v>
      </c>
      <c r="C16" s="77">
        <v>63583</v>
      </c>
    </row>
    <row r="17" spans="1:4" x14ac:dyDescent="0.2">
      <c r="A17" s="45" t="s">
        <v>73</v>
      </c>
      <c r="C17" s="76">
        <v>36.700000000000003</v>
      </c>
    </row>
    <row r="18" spans="1:4" x14ac:dyDescent="0.2">
      <c r="A18" s="45" t="s">
        <v>74</v>
      </c>
      <c r="B18" s="52"/>
      <c r="C18" s="51">
        <f>C$13*D18</f>
        <v>1607527.0060000001</v>
      </c>
      <c r="D18" s="74">
        <v>0.64300000000000002</v>
      </c>
    </row>
    <row r="19" spans="1:4" x14ac:dyDescent="0.2">
      <c r="A19" s="45" t="s">
        <v>76</v>
      </c>
      <c r="B19" s="52"/>
      <c r="C19" s="51">
        <f>C13*D19</f>
        <v>587509.87</v>
      </c>
      <c r="D19" s="74">
        <v>0.23499999999999999</v>
      </c>
    </row>
    <row r="20" spans="1:4" x14ac:dyDescent="0.2">
      <c r="A20" s="45" t="s">
        <v>77</v>
      </c>
      <c r="C20" s="51">
        <f>C25*D20</f>
        <v>7750.1302000000005</v>
      </c>
      <c r="D20" s="74">
        <v>0.01</v>
      </c>
    </row>
    <row r="21" spans="1:4" x14ac:dyDescent="0.2">
      <c r="A21" s="45" t="s">
        <v>78</v>
      </c>
      <c r="C21" s="51">
        <f>C25*D21</f>
        <v>73626.236900000004</v>
      </c>
      <c r="D21" s="74">
        <v>9.5000000000000001E-2</v>
      </c>
    </row>
    <row r="22" spans="1:4" x14ac:dyDescent="0.2">
      <c r="A22" s="45" t="s">
        <v>75</v>
      </c>
      <c r="C22" s="51">
        <f>C$13*D22</f>
        <v>42500.714000000036</v>
      </c>
      <c r="D22" s="73">
        <f>1-(D18+D19+D20+D21)</f>
        <v>1.7000000000000015E-2</v>
      </c>
    </row>
    <row r="23" spans="1:4" x14ac:dyDescent="0.2">
      <c r="A23" s="45" t="s">
        <v>79</v>
      </c>
      <c r="C23" s="51">
        <f>SUM(C18:C21)</f>
        <v>2276413.2431000001</v>
      </c>
      <c r="D23" s="53">
        <f>SUM(D18:D21)</f>
        <v>0.98299999999999998</v>
      </c>
    </row>
    <row r="24" spans="1:4" x14ac:dyDescent="0.2">
      <c r="C24" s="51"/>
      <c r="D24" s="53"/>
    </row>
    <row r="25" spans="1:4" x14ac:dyDescent="0.2">
      <c r="A25" s="45" t="s">
        <v>80</v>
      </c>
      <c r="C25" s="51">
        <f>C$13*D25</f>
        <v>775013.02</v>
      </c>
      <c r="D25" s="74">
        <v>0.31</v>
      </c>
    </row>
    <row r="26" spans="1:4" x14ac:dyDescent="0.2">
      <c r="C26" s="51"/>
    </row>
    <row r="28" spans="1:4" x14ac:dyDescent="0.2">
      <c r="A28" s="45" t="s">
        <v>81</v>
      </c>
    </row>
    <row r="29" spans="1:4" x14ac:dyDescent="0.2">
      <c r="A29" s="54"/>
      <c r="B29" s="45">
        <v>1</v>
      </c>
      <c r="C29" s="76"/>
    </row>
    <row r="30" spans="1:4" x14ac:dyDescent="0.2">
      <c r="B30" s="45">
        <v>2</v>
      </c>
      <c r="C30" s="76"/>
    </row>
    <row r="31" spans="1:4" x14ac:dyDescent="0.2">
      <c r="B31" s="45">
        <v>3</v>
      </c>
      <c r="C31" s="76"/>
    </row>
    <row r="32" spans="1:4" x14ac:dyDescent="0.2">
      <c r="B32" s="45">
        <v>4</v>
      </c>
      <c r="C32" s="76"/>
    </row>
    <row r="33" spans="1:6" x14ac:dyDescent="0.2">
      <c r="B33" s="45">
        <v>5</v>
      </c>
      <c r="C33" s="76" t="s">
        <v>82</v>
      </c>
    </row>
    <row r="36" spans="1:6" x14ac:dyDescent="0.2">
      <c r="B36" s="55" t="s">
        <v>108</v>
      </c>
      <c r="C36" s="45" t="s">
        <v>84</v>
      </c>
      <c r="D36" s="79">
        <v>50</v>
      </c>
      <c r="E36" s="45" t="s">
        <v>85</v>
      </c>
    </row>
    <row r="37" spans="1:6" x14ac:dyDescent="0.2">
      <c r="C37" s="45" t="s">
        <v>86</v>
      </c>
      <c r="D37" s="80">
        <v>500</v>
      </c>
    </row>
    <row r="38" spans="1:6" x14ac:dyDescent="0.2">
      <c r="C38" s="45" t="s">
        <v>87</v>
      </c>
      <c r="D38" s="81">
        <v>75</v>
      </c>
    </row>
    <row r="39" spans="1:6" x14ac:dyDescent="0.2">
      <c r="D39" s="58"/>
    </row>
    <row r="40" spans="1:6" x14ac:dyDescent="0.2">
      <c r="D40" s="58"/>
    </row>
    <row r="41" spans="1:6" x14ac:dyDescent="0.2">
      <c r="B41" s="55" t="s">
        <v>112</v>
      </c>
    </row>
    <row r="42" spans="1:6" x14ac:dyDescent="0.2">
      <c r="A42" s="45" t="s">
        <v>113</v>
      </c>
      <c r="B42" s="45" t="s">
        <v>114</v>
      </c>
      <c r="C42" s="45" t="s">
        <v>115</v>
      </c>
      <c r="D42" s="46" t="s">
        <v>116</v>
      </c>
      <c r="E42" s="45" t="s">
        <v>117</v>
      </c>
    </row>
    <row r="43" spans="1:6" x14ac:dyDescent="0.2">
      <c r="A43" s="62" t="str">
        <f>[1]Equip!M16</f>
        <v>1</v>
      </c>
      <c r="B43" s="62" t="str">
        <f>[1]Equip!T16</f>
        <v>1</v>
      </c>
      <c r="C43" s="45" t="s">
        <v>118</v>
      </c>
      <c r="D43" s="81">
        <v>30500</v>
      </c>
      <c r="E43" s="81">
        <v>0</v>
      </c>
      <c r="F43" s="82" t="s">
        <v>179</v>
      </c>
    </row>
    <row r="44" spans="1:6" outlineLevel="2" x14ac:dyDescent="0.2">
      <c r="A44" s="62" t="str">
        <f>[1]Equip!M36</f>
        <v>1</v>
      </c>
      <c r="B44" s="62" t="str">
        <f>[1]Equip!AA36</f>
        <v>1</v>
      </c>
      <c r="C44" s="45" t="s">
        <v>119</v>
      </c>
      <c r="D44" s="81">
        <v>30000</v>
      </c>
      <c r="E44" s="81">
        <v>0</v>
      </c>
      <c r="F44" s="82" t="s">
        <v>179</v>
      </c>
    </row>
    <row r="45" spans="1:6" outlineLevel="2" x14ac:dyDescent="0.2">
      <c r="A45" s="62" t="str">
        <f>[1]Equip!M56</f>
        <v>1</v>
      </c>
      <c r="B45" s="62" t="str">
        <f>[1]Equip!T56</f>
        <v>1</v>
      </c>
      <c r="C45" s="45" t="s">
        <v>120</v>
      </c>
      <c r="D45" s="81">
        <v>4600</v>
      </c>
      <c r="E45" s="81">
        <v>0</v>
      </c>
      <c r="F45" s="82" t="s">
        <v>179</v>
      </c>
    </row>
    <row r="46" spans="1:6" x14ac:dyDescent="0.2">
      <c r="A46" s="63">
        <v>1</v>
      </c>
      <c r="B46" s="63">
        <v>1</v>
      </c>
      <c r="C46" s="45" t="s">
        <v>121</v>
      </c>
      <c r="D46" s="81">
        <v>2000</v>
      </c>
      <c r="E46" s="81">
        <v>0</v>
      </c>
      <c r="F46" s="76" t="s">
        <v>122</v>
      </c>
    </row>
    <row r="47" spans="1:6" x14ac:dyDescent="0.2">
      <c r="A47" s="63">
        <v>1</v>
      </c>
      <c r="B47" s="63">
        <v>1</v>
      </c>
      <c r="C47" s="45" t="s">
        <v>123</v>
      </c>
      <c r="D47" s="81">
        <v>0</v>
      </c>
      <c r="E47" s="81">
        <v>0</v>
      </c>
      <c r="F47" s="76" t="s">
        <v>124</v>
      </c>
    </row>
    <row r="48" spans="1:6" x14ac:dyDescent="0.2">
      <c r="A48" s="63">
        <v>1</v>
      </c>
      <c r="B48" s="63">
        <v>1</v>
      </c>
      <c r="C48" s="45" t="s">
        <v>125</v>
      </c>
      <c r="D48" s="81">
        <v>200</v>
      </c>
      <c r="E48" s="81">
        <v>0</v>
      </c>
      <c r="F48" s="76"/>
    </row>
    <row r="49" spans="1:6" x14ac:dyDescent="0.2">
      <c r="A49" s="63">
        <v>8</v>
      </c>
      <c r="B49" s="64">
        <v>8</v>
      </c>
      <c r="C49" s="38" t="s">
        <v>172</v>
      </c>
      <c r="D49" s="81">
        <v>800</v>
      </c>
      <c r="E49" s="81">
        <v>0</v>
      </c>
      <c r="F49" s="76" t="s">
        <v>126</v>
      </c>
    </row>
    <row r="50" spans="1:6" outlineLevel="2" x14ac:dyDescent="0.2">
      <c r="A50" s="63">
        <v>4</v>
      </c>
      <c r="B50" s="63">
        <v>4</v>
      </c>
      <c r="C50" s="45" t="s">
        <v>127</v>
      </c>
      <c r="D50" s="81">
        <v>500</v>
      </c>
      <c r="E50" s="81">
        <v>0</v>
      </c>
      <c r="F50" s="76" t="s">
        <v>128</v>
      </c>
    </row>
    <row r="51" spans="1:6" outlineLevel="2" x14ac:dyDescent="0.2">
      <c r="A51" s="63">
        <v>4</v>
      </c>
      <c r="B51" s="63">
        <v>4</v>
      </c>
      <c r="C51" s="45" t="s">
        <v>129</v>
      </c>
      <c r="D51" s="81">
        <v>2000</v>
      </c>
      <c r="E51" s="81">
        <v>0</v>
      </c>
      <c r="F51" s="82" t="s">
        <v>170</v>
      </c>
    </row>
    <row r="52" spans="1:6" outlineLevel="2" x14ac:dyDescent="0.2">
      <c r="A52" s="63">
        <v>4</v>
      </c>
      <c r="B52" s="63">
        <v>4</v>
      </c>
      <c r="C52" s="45" t="s">
        <v>130</v>
      </c>
      <c r="D52" s="81">
        <v>200</v>
      </c>
      <c r="E52" s="81">
        <v>0</v>
      </c>
      <c r="F52" s="82" t="s">
        <v>171</v>
      </c>
    </row>
    <row r="53" spans="1:6" x14ac:dyDescent="0.2">
      <c r="A53" s="63">
        <v>1</v>
      </c>
      <c r="B53" s="63">
        <v>1</v>
      </c>
      <c r="C53" s="38" t="s">
        <v>173</v>
      </c>
      <c r="D53" s="81">
        <v>300</v>
      </c>
      <c r="E53" s="81">
        <v>0</v>
      </c>
      <c r="F53" s="76" t="s">
        <v>131</v>
      </c>
    </row>
    <row r="54" spans="1:6" x14ac:dyDescent="0.2">
      <c r="A54" s="63">
        <v>2</v>
      </c>
      <c r="B54" s="63">
        <v>2</v>
      </c>
      <c r="C54" s="38" t="s">
        <v>174</v>
      </c>
      <c r="D54" s="81">
        <v>1500</v>
      </c>
      <c r="E54" s="81">
        <v>0</v>
      </c>
      <c r="F54" s="76" t="s">
        <v>132</v>
      </c>
    </row>
    <row r="55" spans="1:6" x14ac:dyDescent="0.2">
      <c r="A55" s="63">
        <v>1</v>
      </c>
      <c r="B55" s="63">
        <v>1</v>
      </c>
      <c r="C55" s="38" t="s">
        <v>175</v>
      </c>
      <c r="D55" s="81">
        <v>2500</v>
      </c>
      <c r="E55" s="81">
        <v>0</v>
      </c>
      <c r="F55" s="76" t="s">
        <v>133</v>
      </c>
    </row>
    <row r="56" spans="1:6" x14ac:dyDescent="0.2">
      <c r="A56" s="63">
        <v>1</v>
      </c>
      <c r="B56" s="63">
        <v>1</v>
      </c>
      <c r="C56" s="45" t="s">
        <v>134</v>
      </c>
      <c r="D56" s="81">
        <v>100</v>
      </c>
      <c r="E56" s="81">
        <v>0</v>
      </c>
      <c r="F56" s="76" t="s">
        <v>135</v>
      </c>
    </row>
    <row r="57" spans="1:6" x14ac:dyDescent="0.2">
      <c r="A57" s="63"/>
      <c r="B57" s="63"/>
      <c r="D57" s="58"/>
      <c r="E57" s="58"/>
    </row>
    <row r="58" spans="1:6" x14ac:dyDescent="0.2">
      <c r="C58" s="45" t="s">
        <v>136</v>
      </c>
      <c r="D58" s="65">
        <f>SUM(D43:D57)</f>
        <v>75200</v>
      </c>
      <c r="E58" s="65">
        <f>SUM(E43:E57)</f>
        <v>0</v>
      </c>
    </row>
    <row r="59" spans="1:6" x14ac:dyDescent="0.2">
      <c r="D59" s="51"/>
    </row>
    <row r="60" spans="1:6" x14ac:dyDescent="0.2">
      <c r="B60" s="55" t="s">
        <v>181</v>
      </c>
      <c r="D60" s="51"/>
    </row>
    <row r="61" spans="1:6" x14ac:dyDescent="0.2">
      <c r="B61" s="45" t="s">
        <v>137</v>
      </c>
      <c r="D61" s="51"/>
    </row>
    <row r="62" spans="1:6" x14ac:dyDescent="0.2">
      <c r="C62" s="45" t="s">
        <v>138</v>
      </c>
      <c r="D62" s="75">
        <v>1000</v>
      </c>
      <c r="E62" s="45" t="s">
        <v>139</v>
      </c>
    </row>
    <row r="63" spans="1:6" x14ac:dyDescent="0.2">
      <c r="C63" s="38" t="s">
        <v>176</v>
      </c>
      <c r="D63" s="75">
        <v>1000</v>
      </c>
      <c r="E63" s="45" t="s">
        <v>140</v>
      </c>
    </row>
    <row r="64" spans="1:6" x14ac:dyDescent="0.2">
      <c r="C64" s="45" t="s">
        <v>141</v>
      </c>
      <c r="D64" s="75">
        <v>5000</v>
      </c>
      <c r="E64" s="38" t="s">
        <v>177</v>
      </c>
    </row>
    <row r="65" spans="2:11" x14ac:dyDescent="0.2">
      <c r="C65" s="45" t="s">
        <v>142</v>
      </c>
      <c r="D65" s="66">
        <f>SUM(D62:D64)</f>
        <v>7000</v>
      </c>
    </row>
    <row r="67" spans="2:11" x14ac:dyDescent="0.2">
      <c r="D67" s="58"/>
    </row>
    <row r="68" spans="2:11" x14ac:dyDescent="0.2">
      <c r="D68" s="58"/>
    </row>
    <row r="69" spans="2:11" x14ac:dyDescent="0.2">
      <c r="D69" s="58"/>
    </row>
    <row r="70" spans="2:11" x14ac:dyDescent="0.2">
      <c r="C70" s="45" t="s">
        <v>109</v>
      </c>
      <c r="D70" s="59">
        <f>D37*D38</f>
        <v>37500</v>
      </c>
    </row>
    <row r="71" spans="2:11" x14ac:dyDescent="0.2">
      <c r="C71" s="45" t="s">
        <v>111</v>
      </c>
      <c r="D71" s="59">
        <f>D58</f>
        <v>75200</v>
      </c>
    </row>
    <row r="72" spans="2:11" x14ac:dyDescent="0.2">
      <c r="C72" s="45" t="s">
        <v>110</v>
      </c>
      <c r="D72" s="59">
        <f>D65</f>
        <v>7000</v>
      </c>
    </row>
    <row r="74" spans="2:11" x14ac:dyDescent="0.2">
      <c r="B74" s="55"/>
      <c r="C74" s="38" t="s">
        <v>178</v>
      </c>
      <c r="D74" s="83">
        <v>50000</v>
      </c>
    </row>
    <row r="75" spans="2:11" x14ac:dyDescent="0.2">
      <c r="B75" s="55"/>
      <c r="C75" s="38"/>
      <c r="D75" s="84"/>
    </row>
    <row r="76" spans="2:11" x14ac:dyDescent="0.2">
      <c r="C76" s="55" t="s">
        <v>182</v>
      </c>
      <c r="D76" s="60">
        <f>SUM(D70:D74)</f>
        <v>169700</v>
      </c>
    </row>
    <row r="77" spans="2:11" x14ac:dyDescent="0.2">
      <c r="D77" s="61"/>
    </row>
    <row r="78" spans="2:11" x14ac:dyDescent="0.2">
      <c r="D78" s="45"/>
      <c r="J78" s="48"/>
      <c r="K78" s="56"/>
    </row>
    <row r="79" spans="2:11" x14ac:dyDescent="0.2">
      <c r="D79" s="45"/>
      <c r="J79" s="48"/>
      <c r="K79" s="56"/>
    </row>
    <row r="80" spans="2:11" x14ac:dyDescent="0.2">
      <c r="B80" s="55" t="s">
        <v>83</v>
      </c>
      <c r="D80" s="45"/>
      <c r="J80" s="48"/>
      <c r="K80" s="56"/>
    </row>
    <row r="81" spans="2:11" x14ac:dyDescent="0.2">
      <c r="C81" s="38" t="s">
        <v>15</v>
      </c>
      <c r="D81" s="58">
        <f>D36*D37/12</f>
        <v>2083.3333333333335</v>
      </c>
      <c r="J81" s="48"/>
      <c r="K81" s="56"/>
    </row>
    <row r="82" spans="2:11" x14ac:dyDescent="0.2">
      <c r="C82" s="45" t="s">
        <v>17</v>
      </c>
      <c r="D82" s="79">
        <v>500</v>
      </c>
    </row>
    <row r="84" spans="2:11" x14ac:dyDescent="0.2">
      <c r="C84" s="72" t="s">
        <v>166</v>
      </c>
      <c r="D84" s="83">
        <v>100</v>
      </c>
    </row>
    <row r="85" spans="2:11" x14ac:dyDescent="0.2">
      <c r="C85" s="45" t="s">
        <v>88</v>
      </c>
      <c r="D85" s="83">
        <v>500</v>
      </c>
    </row>
    <row r="86" spans="2:11" x14ac:dyDescent="0.2">
      <c r="C86" s="38" t="s">
        <v>167</v>
      </c>
      <c r="D86" s="56">
        <f>SUM(D84:D85)</f>
        <v>600</v>
      </c>
      <c r="E86" s="45" t="s">
        <v>89</v>
      </c>
    </row>
    <row r="87" spans="2:11" x14ac:dyDescent="0.2">
      <c r="C87" s="38"/>
      <c r="D87" s="56"/>
    </row>
    <row r="88" spans="2:11" x14ac:dyDescent="0.2">
      <c r="C88" s="38" t="s">
        <v>14</v>
      </c>
      <c r="D88" s="85">
        <v>0.05</v>
      </c>
      <c r="E88" s="38" t="s">
        <v>232</v>
      </c>
    </row>
    <row r="89" spans="2:11" x14ac:dyDescent="0.2">
      <c r="C89" s="45" t="s">
        <v>18</v>
      </c>
      <c r="D89" s="86">
        <v>1500</v>
      </c>
      <c r="E89" s="45" t="s">
        <v>89</v>
      </c>
      <c r="F89" s="45" t="s">
        <v>90</v>
      </c>
    </row>
    <row r="90" spans="2:11" x14ac:dyDescent="0.2">
      <c r="C90" s="45" t="s">
        <v>91</v>
      </c>
      <c r="D90" s="86">
        <v>1000</v>
      </c>
      <c r="E90" s="45" t="s">
        <v>89</v>
      </c>
    </row>
    <row r="91" spans="2:11" x14ac:dyDescent="0.2">
      <c r="D91" s="56"/>
    </row>
    <row r="92" spans="2:11" x14ac:dyDescent="0.2">
      <c r="B92" s="55" t="s">
        <v>92</v>
      </c>
      <c r="D92" s="56"/>
    </row>
    <row r="93" spans="2:11" x14ac:dyDescent="0.2">
      <c r="C93" s="45" t="s">
        <v>93</v>
      </c>
      <c r="D93" s="86">
        <v>500</v>
      </c>
      <c r="E93" s="45" t="s">
        <v>89</v>
      </c>
      <c r="F93" s="58">
        <f>D93*12</f>
        <v>6000</v>
      </c>
      <c r="G93" s="45" t="s">
        <v>94</v>
      </c>
    </row>
    <row r="94" spans="2:11" x14ac:dyDescent="0.2">
      <c r="D94" s="91"/>
      <c r="F94" s="58"/>
    </row>
    <row r="95" spans="2:11" x14ac:dyDescent="0.2">
      <c r="C95" s="45" t="s">
        <v>100</v>
      </c>
      <c r="D95" s="86">
        <v>10</v>
      </c>
      <c r="E95" s="45" t="s">
        <v>96</v>
      </c>
    </row>
    <row r="96" spans="2:11" x14ac:dyDescent="0.2">
      <c r="C96" s="45" t="s">
        <v>101</v>
      </c>
      <c r="D96" s="88">
        <v>172</v>
      </c>
      <c r="E96" s="38" t="s">
        <v>183</v>
      </c>
    </row>
    <row r="97" spans="3:6" x14ac:dyDescent="0.2">
      <c r="C97" s="72" t="s">
        <v>192</v>
      </c>
      <c r="D97" s="56">
        <f>D95*D96</f>
        <v>1720</v>
      </c>
      <c r="E97" s="45" t="s">
        <v>89</v>
      </c>
    </row>
    <row r="98" spans="3:6" x14ac:dyDescent="0.2">
      <c r="C98" s="38" t="s">
        <v>193</v>
      </c>
      <c r="D98" s="89">
        <v>0.01</v>
      </c>
    </row>
    <row r="99" spans="3:6" x14ac:dyDescent="0.2">
      <c r="D99" s="56"/>
    </row>
    <row r="100" spans="3:6" x14ac:dyDescent="0.2">
      <c r="C100" s="38" t="s">
        <v>184</v>
      </c>
      <c r="D100" s="86">
        <v>12</v>
      </c>
      <c r="E100" s="38" t="s">
        <v>189</v>
      </c>
      <c r="F100" s="58"/>
    </row>
    <row r="101" spans="3:6" x14ac:dyDescent="0.2">
      <c r="C101" s="38" t="s">
        <v>234</v>
      </c>
      <c r="D101" s="92">
        <v>8</v>
      </c>
      <c r="E101" s="38"/>
      <c r="F101" s="58"/>
    </row>
    <row r="102" spans="3:6" x14ac:dyDescent="0.2">
      <c r="C102" s="38" t="s">
        <v>185</v>
      </c>
      <c r="D102" s="106">
        <f>4.3*D101</f>
        <v>34.4</v>
      </c>
      <c r="E102" s="38"/>
      <c r="F102" s="58"/>
    </row>
    <row r="103" spans="3:6" x14ac:dyDescent="0.2">
      <c r="C103" s="38" t="s">
        <v>186</v>
      </c>
      <c r="D103" s="91">
        <f>SUM(D100*D102)</f>
        <v>412.79999999999995</v>
      </c>
      <c r="E103" s="38" t="s">
        <v>89</v>
      </c>
      <c r="F103" s="58"/>
    </row>
    <row r="104" spans="3:6" x14ac:dyDescent="0.2">
      <c r="C104" s="38" t="s">
        <v>187</v>
      </c>
      <c r="D104" s="90">
        <v>0.03</v>
      </c>
      <c r="F104" s="58"/>
    </row>
    <row r="105" spans="3:6" x14ac:dyDescent="0.2">
      <c r="D105" s="91"/>
      <c r="F105" s="58"/>
    </row>
    <row r="106" spans="3:6" x14ac:dyDescent="0.2">
      <c r="C106" s="38" t="s">
        <v>168</v>
      </c>
      <c r="D106" s="86">
        <v>40</v>
      </c>
      <c r="E106" s="45" t="s">
        <v>96</v>
      </c>
    </row>
    <row r="107" spans="3:6" x14ac:dyDescent="0.2">
      <c r="C107" s="38" t="s">
        <v>233</v>
      </c>
      <c r="D107" s="92">
        <v>40</v>
      </c>
    </row>
    <row r="108" spans="3:6" x14ac:dyDescent="0.2">
      <c r="C108" s="38" t="s">
        <v>169</v>
      </c>
      <c r="D108" s="106">
        <f>4.3*D107</f>
        <v>172</v>
      </c>
    </row>
    <row r="109" spans="3:6" x14ac:dyDescent="0.2">
      <c r="C109" s="38" t="s">
        <v>190</v>
      </c>
      <c r="D109" s="56">
        <f>D106*D108</f>
        <v>6880</v>
      </c>
      <c r="E109" s="45" t="s">
        <v>89</v>
      </c>
    </row>
    <row r="110" spans="3:6" x14ac:dyDescent="0.2">
      <c r="C110" s="38" t="s">
        <v>191</v>
      </c>
      <c r="D110" s="89">
        <v>0</v>
      </c>
    </row>
    <row r="111" spans="3:6" x14ac:dyDescent="0.2">
      <c r="D111" s="56"/>
    </row>
    <row r="112" spans="3:6" x14ac:dyDescent="0.2">
      <c r="C112" s="45" t="s">
        <v>95</v>
      </c>
      <c r="D112" s="86">
        <v>12</v>
      </c>
      <c r="E112" s="45" t="s">
        <v>96</v>
      </c>
    </row>
    <row r="113" spans="2:7" x14ac:dyDescent="0.2">
      <c r="C113" s="45" t="s">
        <v>97</v>
      </c>
      <c r="D113" s="78">
        <v>172</v>
      </c>
      <c r="E113" s="72" t="s">
        <v>188</v>
      </c>
    </row>
    <row r="114" spans="2:7" x14ac:dyDescent="0.2">
      <c r="C114" s="45" t="s">
        <v>98</v>
      </c>
      <c r="D114" s="59">
        <f>D112*D113</f>
        <v>2064</v>
      </c>
      <c r="E114" s="45" t="s">
        <v>89</v>
      </c>
    </row>
    <row r="115" spans="2:7" x14ac:dyDescent="0.2">
      <c r="C115" s="45" t="s">
        <v>99</v>
      </c>
      <c r="D115" s="87">
        <v>0.03</v>
      </c>
    </row>
    <row r="117" spans="2:7" x14ac:dyDescent="0.2">
      <c r="C117" s="38" t="s">
        <v>194</v>
      </c>
      <c r="D117" s="83">
        <v>3350</v>
      </c>
      <c r="E117" s="45" t="s">
        <v>89</v>
      </c>
      <c r="F117" s="59">
        <f>D117*12</f>
        <v>40200</v>
      </c>
      <c r="G117" s="45" t="s">
        <v>94</v>
      </c>
    </row>
    <row r="118" spans="2:7" x14ac:dyDescent="0.2">
      <c r="C118" s="38" t="s">
        <v>195</v>
      </c>
      <c r="D118" s="87">
        <v>0.03</v>
      </c>
      <c r="E118" s="38"/>
    </row>
    <row r="120" spans="2:7" x14ac:dyDescent="0.2">
      <c r="C120" s="45" t="s">
        <v>102</v>
      </c>
      <c r="D120" s="86">
        <v>0</v>
      </c>
      <c r="E120" s="45" t="s">
        <v>89</v>
      </c>
      <c r="F120" s="59">
        <f>D120*12</f>
        <v>0</v>
      </c>
      <c r="G120" s="45" t="s">
        <v>94</v>
      </c>
    </row>
    <row r="121" spans="2:7" x14ac:dyDescent="0.2">
      <c r="C121" s="45" t="s">
        <v>103</v>
      </c>
      <c r="D121" s="89">
        <v>0</v>
      </c>
    </row>
    <row r="124" spans="2:7" x14ac:dyDescent="0.2">
      <c r="B124" s="55" t="s">
        <v>104</v>
      </c>
    </row>
    <row r="126" spans="2:7" x14ac:dyDescent="0.2">
      <c r="C126" s="38" t="s">
        <v>202</v>
      </c>
      <c r="D126" s="90">
        <v>0.5</v>
      </c>
      <c r="E126" s="38" t="s">
        <v>203</v>
      </c>
    </row>
    <row r="127" spans="2:7" x14ac:dyDescent="0.2">
      <c r="C127" s="38" t="s">
        <v>205</v>
      </c>
      <c r="D127" s="90">
        <v>0.02</v>
      </c>
      <c r="E127" s="38"/>
    </row>
    <row r="128" spans="2:7" x14ac:dyDescent="0.2">
      <c r="C128" s="38" t="s">
        <v>107</v>
      </c>
      <c r="D128" s="90">
        <v>0.02</v>
      </c>
      <c r="E128" s="45" t="s">
        <v>105</v>
      </c>
    </row>
    <row r="129" spans="1:8" x14ac:dyDescent="0.2">
      <c r="C129" s="38" t="s">
        <v>204</v>
      </c>
      <c r="D129" s="90">
        <v>0.05</v>
      </c>
      <c r="E129" s="45" t="s">
        <v>105</v>
      </c>
    </row>
    <row r="130" spans="1:8" x14ac:dyDescent="0.2">
      <c r="C130" s="38" t="s">
        <v>196</v>
      </c>
      <c r="D130" s="85">
        <v>0.5</v>
      </c>
      <c r="E130" s="45" t="s">
        <v>106</v>
      </c>
    </row>
    <row r="131" spans="1:8" x14ac:dyDescent="0.2">
      <c r="D131" s="53"/>
    </row>
    <row r="133" spans="1:8" x14ac:dyDescent="0.2">
      <c r="A133" s="55" t="s">
        <v>143</v>
      </c>
      <c r="D133" s="46" t="s">
        <v>144</v>
      </c>
      <c r="E133" s="45" t="s">
        <v>145</v>
      </c>
      <c r="G133" s="59"/>
    </row>
    <row r="134" spans="1:8" x14ac:dyDescent="0.2">
      <c r="C134" s="55"/>
      <c r="D134" s="55"/>
      <c r="E134" s="55"/>
      <c r="H134" s="55"/>
    </row>
    <row r="135" spans="1:8" x14ac:dyDescent="0.2">
      <c r="C135" s="55" t="s">
        <v>215</v>
      </c>
      <c r="D135" s="67">
        <f>(D146+D142+D141+D140+D137)*D136</f>
        <v>70.8</v>
      </c>
      <c r="E135" s="67">
        <f>(E146+E142+E141+E140+E137)*E136</f>
        <v>165</v>
      </c>
      <c r="G135" s="55" t="s">
        <v>220</v>
      </c>
    </row>
    <row r="136" spans="1:8" x14ac:dyDescent="0.2">
      <c r="B136" s="55" t="s">
        <v>146</v>
      </c>
      <c r="C136" s="55"/>
      <c r="D136" s="93">
        <v>0.6</v>
      </c>
      <c r="E136" s="93">
        <v>0.6</v>
      </c>
      <c r="G136" s="68">
        <v>0.08</v>
      </c>
    </row>
    <row r="137" spans="1:8" x14ac:dyDescent="0.2">
      <c r="A137" s="69" t="s">
        <v>147</v>
      </c>
      <c r="B137" s="38" t="s">
        <v>197</v>
      </c>
      <c r="D137" s="70">
        <v>50</v>
      </c>
      <c r="E137" s="70">
        <v>75</v>
      </c>
      <c r="H137" s="55"/>
    </row>
    <row r="138" spans="1:8" x14ac:dyDescent="0.2">
      <c r="A138" s="69" t="s">
        <v>148</v>
      </c>
      <c r="B138" s="45" t="s">
        <v>149</v>
      </c>
      <c r="D138" s="80">
        <v>6</v>
      </c>
      <c r="E138" s="76">
        <v>12</v>
      </c>
      <c r="G138" s="55" t="s">
        <v>221</v>
      </c>
      <c r="H138" s="55"/>
    </row>
    <row r="139" spans="1:8" x14ac:dyDescent="0.2">
      <c r="B139" s="38" t="s">
        <v>198</v>
      </c>
      <c r="D139" s="80">
        <v>2</v>
      </c>
      <c r="E139" s="76">
        <v>4</v>
      </c>
      <c r="G139" s="55">
        <v>1.08</v>
      </c>
    </row>
    <row r="140" spans="1:8" x14ac:dyDescent="0.2">
      <c r="B140" s="38" t="s">
        <v>199</v>
      </c>
      <c r="D140" s="67">
        <f>D138*D139</f>
        <v>12</v>
      </c>
      <c r="E140" s="55">
        <f>E138*E139</f>
        <v>48</v>
      </c>
    </row>
    <row r="141" spans="1:8" x14ac:dyDescent="0.2">
      <c r="A141" s="69" t="s">
        <v>150</v>
      </c>
      <c r="B141" s="45" t="s">
        <v>151</v>
      </c>
      <c r="D141" s="94">
        <v>8</v>
      </c>
      <c r="E141" s="95">
        <v>16</v>
      </c>
    </row>
    <row r="142" spans="1:8" x14ac:dyDescent="0.2">
      <c r="A142" s="69" t="s">
        <v>152</v>
      </c>
      <c r="B142" s="38" t="s">
        <v>200</v>
      </c>
      <c r="D142" s="94">
        <v>8</v>
      </c>
      <c r="E142" s="95">
        <v>16</v>
      </c>
    </row>
    <row r="143" spans="1:8" x14ac:dyDescent="0.2">
      <c r="A143" s="69"/>
      <c r="D143" s="71"/>
    </row>
    <row r="144" spans="1:8" x14ac:dyDescent="0.2">
      <c r="A144" s="69" t="s">
        <v>153</v>
      </c>
      <c r="B144" s="45" t="s">
        <v>154</v>
      </c>
      <c r="D144" s="80">
        <v>100</v>
      </c>
      <c r="E144" s="76">
        <v>200</v>
      </c>
      <c r="F144" s="58"/>
      <c r="G144" s="58"/>
    </row>
    <row r="145" spans="1:7" x14ac:dyDescent="0.2">
      <c r="B145" s="45" t="s">
        <v>155</v>
      </c>
      <c r="D145" s="87">
        <v>0.4</v>
      </c>
      <c r="E145" s="87">
        <v>0.6</v>
      </c>
      <c r="F145" s="58"/>
      <c r="G145" s="58"/>
    </row>
    <row r="146" spans="1:7" x14ac:dyDescent="0.2">
      <c r="B146" s="45" t="s">
        <v>156</v>
      </c>
      <c r="D146" s="67">
        <f>D144*D145</f>
        <v>40</v>
      </c>
      <c r="E146" s="67">
        <f>E144*E145</f>
        <v>120</v>
      </c>
    </row>
    <row r="147" spans="1:7" x14ac:dyDescent="0.2">
      <c r="A147" s="69"/>
      <c r="D147" s="57"/>
    </row>
    <row r="148" spans="1:7" x14ac:dyDescent="0.2">
      <c r="A148" s="55" t="s">
        <v>157</v>
      </c>
      <c r="D148" s="57"/>
    </row>
    <row r="149" spans="1:7" x14ac:dyDescent="0.2">
      <c r="B149" s="45" t="s">
        <v>158</v>
      </c>
      <c r="D149" s="80">
        <v>6</v>
      </c>
      <c r="E149" s="45" t="s">
        <v>159</v>
      </c>
    </row>
    <row r="150" spans="1:7" x14ac:dyDescent="0.2">
      <c r="B150" s="45" t="s">
        <v>158</v>
      </c>
      <c r="D150" s="80">
        <v>6</v>
      </c>
      <c r="E150" s="38" t="s">
        <v>119</v>
      </c>
    </row>
    <row r="151" spans="1:7" x14ac:dyDescent="0.2">
      <c r="B151" s="45" t="s">
        <v>158</v>
      </c>
      <c r="D151" s="80">
        <v>1</v>
      </c>
      <c r="E151" s="38" t="s">
        <v>253</v>
      </c>
    </row>
    <row r="152" spans="1:7" x14ac:dyDescent="0.2">
      <c r="B152" s="45" t="s">
        <v>158</v>
      </c>
      <c r="D152" s="80">
        <v>1</v>
      </c>
      <c r="E152" s="45" t="s">
        <v>161</v>
      </c>
    </row>
    <row r="153" spans="1:7" x14ac:dyDescent="0.2">
      <c r="B153" s="38" t="s">
        <v>206</v>
      </c>
      <c r="D153" s="83">
        <v>150</v>
      </c>
      <c r="E153" s="38" t="s">
        <v>162</v>
      </c>
    </row>
    <row r="154" spans="1:7" x14ac:dyDescent="0.2">
      <c r="B154" s="38" t="s">
        <v>207</v>
      </c>
      <c r="D154" s="83">
        <v>200</v>
      </c>
      <c r="E154" s="38" t="s">
        <v>162</v>
      </c>
    </row>
    <row r="155" spans="1:7" x14ac:dyDescent="0.2">
      <c r="B155" s="38" t="s">
        <v>209</v>
      </c>
      <c r="D155" s="83">
        <v>100</v>
      </c>
      <c r="E155" s="45" t="s">
        <v>162</v>
      </c>
    </row>
    <row r="156" spans="1:7" x14ac:dyDescent="0.2">
      <c r="B156" s="38" t="s">
        <v>208</v>
      </c>
      <c r="D156" s="83">
        <v>500</v>
      </c>
      <c r="E156" s="72" t="s">
        <v>162</v>
      </c>
    </row>
    <row r="157" spans="1:7" x14ac:dyDescent="0.2">
      <c r="B157" s="45" t="s">
        <v>163</v>
      </c>
      <c r="D157" s="85">
        <v>0.5</v>
      </c>
      <c r="E157" s="45" t="s">
        <v>164</v>
      </c>
    </row>
    <row r="158" spans="1:7" x14ac:dyDescent="0.2">
      <c r="B158" s="38" t="s">
        <v>210</v>
      </c>
      <c r="D158" s="83">
        <v>40</v>
      </c>
      <c r="E158" s="45" t="s">
        <v>165</v>
      </c>
    </row>
    <row r="159" spans="1:7" x14ac:dyDescent="0.2">
      <c r="B159" s="38" t="s">
        <v>229</v>
      </c>
      <c r="D159" s="85">
        <v>0.25</v>
      </c>
    </row>
    <row r="160" spans="1:7" x14ac:dyDescent="0.2">
      <c r="B160" s="38"/>
      <c r="D160" s="105"/>
    </row>
    <row r="161" spans="1:4" x14ac:dyDescent="0.2">
      <c r="A161" s="55" t="s">
        <v>211</v>
      </c>
    </row>
    <row r="164" spans="1:4" x14ac:dyDescent="0.2">
      <c r="B164" s="38" t="s">
        <v>213</v>
      </c>
      <c r="D164" s="87">
        <v>0.3</v>
      </c>
    </row>
    <row r="165" spans="1:4" x14ac:dyDescent="0.2">
      <c r="B165" s="38" t="s">
        <v>214</v>
      </c>
      <c r="D165" s="87">
        <v>0.2</v>
      </c>
    </row>
    <row r="166" spans="1:4" x14ac:dyDescent="0.2">
      <c r="B166" s="38" t="s">
        <v>160</v>
      </c>
      <c r="D166" s="87">
        <v>0.1</v>
      </c>
    </row>
    <row r="167" spans="1:4" x14ac:dyDescent="0.2">
      <c r="B167" s="38" t="s">
        <v>212</v>
      </c>
      <c r="D167" s="85">
        <v>0.15</v>
      </c>
    </row>
    <row r="168" spans="1:4" x14ac:dyDescent="0.2">
      <c r="B168" s="38" t="s">
        <v>119</v>
      </c>
      <c r="D168" s="85">
        <v>0.05</v>
      </c>
    </row>
    <row r="169" spans="1:4" x14ac:dyDescent="0.2">
      <c r="B169" s="38" t="s">
        <v>228</v>
      </c>
      <c r="D169" s="87">
        <v>0.2</v>
      </c>
    </row>
    <row r="170" spans="1:4" x14ac:dyDescent="0.2">
      <c r="B170" s="38"/>
      <c r="D170" s="104"/>
    </row>
    <row r="171" spans="1:4" x14ac:dyDescent="0.2">
      <c r="C171" s="38" t="s">
        <v>216</v>
      </c>
      <c r="D171" s="52">
        <f>SUM(D164:D170)</f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zoomScaleNormal="100" workbookViewId="0"/>
  </sheetViews>
  <sheetFormatPr defaultRowHeight="12.75" x14ac:dyDescent="0.2"/>
  <cols>
    <col min="1" max="1" width="25" bestFit="1" customWidth="1"/>
    <col min="2" max="2" width="13" bestFit="1" customWidth="1"/>
    <col min="3" max="5" width="7" bestFit="1" customWidth="1"/>
    <col min="6" max="6" width="7.85546875" bestFit="1" customWidth="1"/>
    <col min="7" max="14" width="7" bestFit="1" customWidth="1"/>
    <col min="15" max="15" width="10" bestFit="1" customWidth="1"/>
    <col min="16" max="16" width="8" bestFit="1" customWidth="1"/>
  </cols>
  <sheetData>
    <row r="1" spans="1:17" ht="19.5" customHeight="1" x14ac:dyDescent="0.3">
      <c r="A1" s="37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2.75" customHeight="1" x14ac:dyDescent="0.2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7" ht="12.75" customHeight="1" x14ac:dyDescent="0.2">
      <c r="A3" s="142" t="s">
        <v>255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5" customHeight="1" x14ac:dyDescent="0.2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7" ht="12.75" customHeight="1" x14ac:dyDescent="0.2">
      <c r="A5" s="5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/>
    </row>
    <row r="6" spans="1:17" ht="12.75" customHeight="1" x14ac:dyDescent="0.2">
      <c r="A6" s="99">
        <v>41275</v>
      </c>
      <c r="B6" s="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/>
    </row>
    <row r="7" spans="1:17" ht="12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6"/>
    </row>
    <row r="8" spans="1:17" ht="24" customHeight="1" x14ac:dyDescent="0.2">
      <c r="A8" s="11"/>
      <c r="B8" s="12"/>
      <c r="C8" s="13">
        <f>A6</f>
        <v>41275</v>
      </c>
      <c r="D8" s="13">
        <f>DATE(YEAR(A6),MONTH(A6)+1,1)</f>
        <v>41306</v>
      </c>
      <c r="E8" s="13">
        <f t="shared" ref="E8:N8" si="0">DATE(YEAR(D8),MONTH(D8)+1,1)</f>
        <v>41334</v>
      </c>
      <c r="F8" s="13">
        <f t="shared" si="0"/>
        <v>41365</v>
      </c>
      <c r="G8" s="13">
        <f t="shared" si="0"/>
        <v>41395</v>
      </c>
      <c r="H8" s="13">
        <f t="shared" si="0"/>
        <v>41426</v>
      </c>
      <c r="I8" s="13">
        <f t="shared" si="0"/>
        <v>41456</v>
      </c>
      <c r="J8" s="13">
        <f t="shared" si="0"/>
        <v>41487</v>
      </c>
      <c r="K8" s="13">
        <f t="shared" si="0"/>
        <v>41518</v>
      </c>
      <c r="L8" s="13">
        <f t="shared" si="0"/>
        <v>41548</v>
      </c>
      <c r="M8" s="13">
        <f t="shared" si="0"/>
        <v>41579</v>
      </c>
      <c r="N8" s="13">
        <f t="shared" si="0"/>
        <v>41609</v>
      </c>
      <c r="O8" s="12" t="s">
        <v>4</v>
      </c>
      <c r="P8" s="7"/>
    </row>
    <row r="9" spans="1:17" ht="12.75" customHeight="1" x14ac:dyDescent="0.2">
      <c r="A9" s="16" t="s">
        <v>225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6"/>
    </row>
    <row r="10" spans="1:17" ht="12.75" customHeight="1" x14ac:dyDescent="0.2">
      <c r="A10" s="19" t="s">
        <v>213</v>
      </c>
      <c r="B10" s="100"/>
      <c r="C10" s="101">
        <f>Assumptions!D164*Assumptions!D135*0.5</f>
        <v>10.62</v>
      </c>
      <c r="D10" s="101">
        <f>Assumptions!G$139*C10</f>
        <v>11.4696</v>
      </c>
      <c r="E10" s="101">
        <f>D10*Assumptions!G$139</f>
        <v>12.387168000000001</v>
      </c>
      <c r="F10" s="101">
        <f>Assumptions!G$139*E10</f>
        <v>13.378141440000002</v>
      </c>
      <c r="G10" s="101">
        <f>Assumptions!G$139*F10</f>
        <v>14.448392755200004</v>
      </c>
      <c r="H10" s="101">
        <f>Assumptions!G$139*G10</f>
        <v>15.604264175616006</v>
      </c>
      <c r="I10" s="101">
        <f>Assumptions!G$139*H10</f>
        <v>16.852605309665286</v>
      </c>
      <c r="J10" s="101">
        <f>Assumptions!G$139*I10</f>
        <v>18.200813734438508</v>
      </c>
      <c r="K10" s="101">
        <f>Assumptions!G$139*J10</f>
        <v>19.656878833193591</v>
      </c>
      <c r="L10" s="101">
        <f>Assumptions!G$139*K10</f>
        <v>21.229429139849081</v>
      </c>
      <c r="M10" s="101">
        <f>Assumptions!G$139*L10</f>
        <v>22.92778347103701</v>
      </c>
      <c r="N10" s="101">
        <f>Assumptions!G$139*M10</f>
        <v>24.762006148719973</v>
      </c>
      <c r="O10" s="21">
        <f t="shared" ref="O10:O16" si="1">SUM(N10,M10,L10,K10,J10,I10,H10,G10,F10,E10,D10,C10)</f>
        <v>201.5370830077195</v>
      </c>
      <c r="P10" s="22"/>
      <c r="Q10" s="96" t="s">
        <v>222</v>
      </c>
    </row>
    <row r="11" spans="1:17" ht="12.75" customHeight="1" x14ac:dyDescent="0.2">
      <c r="A11" s="19" t="s">
        <v>214</v>
      </c>
      <c r="B11" s="100"/>
      <c r="C11" s="101">
        <f>Assumptions!D165*Assumptions!D135*0.5</f>
        <v>7.08</v>
      </c>
      <c r="D11" s="101">
        <f>Assumptions!G$139*C11</f>
        <v>7.6464000000000008</v>
      </c>
      <c r="E11" s="101">
        <f>D11*Assumptions!G$139</f>
        <v>8.2581120000000006</v>
      </c>
      <c r="F11" s="101">
        <f>Assumptions!G$139*E11</f>
        <v>8.918760960000002</v>
      </c>
      <c r="G11" s="101">
        <f>Assumptions!G$139*F11</f>
        <v>9.6322618368000033</v>
      </c>
      <c r="H11" s="101">
        <f>Assumptions!G$139*G11</f>
        <v>10.402842783744005</v>
      </c>
      <c r="I11" s="101">
        <f>Assumptions!G$139*H11</f>
        <v>11.235070206443526</v>
      </c>
      <c r="J11" s="101">
        <f>Assumptions!G$139*I11</f>
        <v>12.133875822959009</v>
      </c>
      <c r="K11" s="101">
        <f>Assumptions!G$139*J11</f>
        <v>13.10458588879573</v>
      </c>
      <c r="L11" s="101">
        <f>Assumptions!G$139*K11</f>
        <v>14.152952759899391</v>
      </c>
      <c r="M11" s="101">
        <f>Assumptions!G$139*L11</f>
        <v>15.285188980691343</v>
      </c>
      <c r="N11" s="101">
        <f>Assumptions!G$139*M11</f>
        <v>16.508004099146653</v>
      </c>
      <c r="O11" s="21">
        <f t="shared" si="1"/>
        <v>134.35805533847966</v>
      </c>
      <c r="P11" s="22"/>
    </row>
    <row r="12" spans="1:17" ht="12.75" customHeight="1" x14ac:dyDescent="0.2">
      <c r="A12" s="19" t="s">
        <v>218</v>
      </c>
      <c r="B12" s="100"/>
      <c r="C12" s="101">
        <f>Assumptions!D135*0.5*Assumptions!D166</f>
        <v>3.54</v>
      </c>
      <c r="D12" s="101">
        <f>Assumptions!G$139*C12</f>
        <v>3.8232000000000004</v>
      </c>
      <c r="E12" s="101">
        <f>D12*Assumptions!G$139</f>
        <v>4.1290560000000003</v>
      </c>
      <c r="F12" s="101">
        <f>Assumptions!G$139*E12</f>
        <v>4.459380480000001</v>
      </c>
      <c r="G12" s="101">
        <f>Assumptions!G$139*F12</f>
        <v>4.8161309184000016</v>
      </c>
      <c r="H12" s="101">
        <f>Assumptions!G$139*G12</f>
        <v>5.2014213918720023</v>
      </c>
      <c r="I12" s="101">
        <f>Assumptions!G$139*H12</f>
        <v>5.6175351032217629</v>
      </c>
      <c r="J12" s="101">
        <f>Assumptions!G$139*I12</f>
        <v>6.0669379114795046</v>
      </c>
      <c r="K12" s="101">
        <f>Assumptions!G$139*J12</f>
        <v>6.5522929443978652</v>
      </c>
      <c r="L12" s="101">
        <f>Assumptions!G$139*K12</f>
        <v>7.0764763799496953</v>
      </c>
      <c r="M12" s="101">
        <f>Assumptions!G$139*L12</f>
        <v>7.6425944903456715</v>
      </c>
      <c r="N12" s="101">
        <f>Assumptions!G$139*M12</f>
        <v>8.2540020495733266</v>
      </c>
      <c r="O12" s="21">
        <f t="shared" si="1"/>
        <v>67.179027669239829</v>
      </c>
      <c r="P12" s="22"/>
    </row>
    <row r="13" spans="1:17" ht="12.75" customHeight="1" x14ac:dyDescent="0.2">
      <c r="A13" s="19" t="s">
        <v>212</v>
      </c>
      <c r="B13" s="100"/>
      <c r="C13" s="101">
        <f>Assumptions!D167*Assumptions!D135*0.5</f>
        <v>5.31</v>
      </c>
      <c r="D13" s="101">
        <f>Assumptions!G$139*C13</f>
        <v>5.7347999999999999</v>
      </c>
      <c r="E13" s="101">
        <f>D13*Assumptions!G$139</f>
        <v>6.1935840000000004</v>
      </c>
      <c r="F13" s="101">
        <f>Assumptions!G$139*E13</f>
        <v>6.689070720000001</v>
      </c>
      <c r="G13" s="101">
        <f>Assumptions!G$139*F13</f>
        <v>7.224196377600002</v>
      </c>
      <c r="H13" s="101">
        <f>Assumptions!G$139*G13</f>
        <v>7.8021320878080029</v>
      </c>
      <c r="I13" s="101">
        <f>Assumptions!G$139*H13</f>
        <v>8.426302654832643</v>
      </c>
      <c r="J13" s="101">
        <f>Assumptions!G$139*I13</f>
        <v>9.1004068672192542</v>
      </c>
      <c r="K13" s="101">
        <f>Assumptions!G$139*J13</f>
        <v>9.8284394165967957</v>
      </c>
      <c r="L13" s="101">
        <f>Assumptions!G$139*K13</f>
        <v>10.614714569924541</v>
      </c>
      <c r="M13" s="101">
        <f>Assumptions!G$139*L13</f>
        <v>11.463891735518505</v>
      </c>
      <c r="N13" s="101">
        <f>Assumptions!G$139*M13</f>
        <v>12.381003074359986</v>
      </c>
      <c r="O13" s="21">
        <f t="shared" si="1"/>
        <v>100.76854150385975</v>
      </c>
      <c r="P13" s="22"/>
    </row>
    <row r="14" spans="1:17" ht="12.75" customHeight="1" x14ac:dyDescent="0.2">
      <c r="A14" s="19" t="s">
        <v>243</v>
      </c>
      <c r="B14" s="100"/>
      <c r="C14" s="101"/>
      <c r="D14" s="101">
        <f>C13</f>
        <v>5.31</v>
      </c>
      <c r="E14" s="101">
        <f>D14+D13</f>
        <v>11.044799999999999</v>
      </c>
      <c r="F14" s="101">
        <f>C13+D13+E13</f>
        <v>17.238384</v>
      </c>
      <c r="G14" s="101">
        <f>C13+D13+E13+F13</f>
        <v>23.92745472</v>
      </c>
      <c r="H14" s="101">
        <f t="shared" ref="H14:N14" si="2">C13+D13+E13+F13+G13</f>
        <v>31.151651097600002</v>
      </c>
      <c r="I14" s="101">
        <f t="shared" si="2"/>
        <v>33.643783185408004</v>
      </c>
      <c r="J14" s="101">
        <f t="shared" si="2"/>
        <v>36.335285840240644</v>
      </c>
      <c r="K14" s="101">
        <f t="shared" si="2"/>
        <v>39.242108707459899</v>
      </c>
      <c r="L14" s="101">
        <f t="shared" si="2"/>
        <v>42.381477404056696</v>
      </c>
      <c r="M14" s="101">
        <f t="shared" si="2"/>
        <v>45.771995596381231</v>
      </c>
      <c r="N14" s="101">
        <f t="shared" si="2"/>
        <v>49.433755244091728</v>
      </c>
      <c r="O14" s="21">
        <f t="shared" si="1"/>
        <v>335.48069579523826</v>
      </c>
      <c r="P14" s="22"/>
    </row>
    <row r="15" spans="1:17" ht="12.75" customHeight="1" x14ac:dyDescent="0.2">
      <c r="A15" s="19" t="s">
        <v>119</v>
      </c>
      <c r="B15" s="100"/>
      <c r="C15" s="101">
        <f>Assumptions!D135*0.5*Assumptions!D168</f>
        <v>1.77</v>
      </c>
      <c r="D15" s="101">
        <f>Assumptions!G$139*C15</f>
        <v>1.9116000000000002</v>
      </c>
      <c r="E15" s="101">
        <f>D15*Assumptions!G$139</f>
        <v>2.0645280000000001</v>
      </c>
      <c r="F15" s="101">
        <f>Assumptions!G$139*E15</f>
        <v>2.2296902400000005</v>
      </c>
      <c r="G15" s="101">
        <f>Assumptions!G$139*F15</f>
        <v>2.4080654592000008</v>
      </c>
      <c r="H15" s="101">
        <f>Assumptions!G$139*G15</f>
        <v>2.6007106959360011</v>
      </c>
      <c r="I15" s="101">
        <f>Assumptions!G$139*H15</f>
        <v>2.8087675516108814</v>
      </c>
      <c r="J15" s="101">
        <f>Assumptions!G$139*I15</f>
        <v>3.0334689557397523</v>
      </c>
      <c r="K15" s="101">
        <f>Assumptions!G$139*J15</f>
        <v>3.2761464721989326</v>
      </c>
      <c r="L15" s="101">
        <f>Assumptions!G$139*K15</f>
        <v>3.5382381899748476</v>
      </c>
      <c r="M15" s="101">
        <f>Assumptions!G$139*L15</f>
        <v>3.8212972451728358</v>
      </c>
      <c r="N15" s="101">
        <f>Assumptions!G$139*M15</f>
        <v>4.1270010247866633</v>
      </c>
      <c r="O15" s="21">
        <f t="shared" si="1"/>
        <v>33.589513834619915</v>
      </c>
      <c r="P15" s="22"/>
    </row>
    <row r="16" spans="1:17" ht="12.75" customHeight="1" x14ac:dyDescent="0.2">
      <c r="A16" s="19" t="s">
        <v>244</v>
      </c>
      <c r="B16" s="100"/>
      <c r="C16" s="101"/>
      <c r="D16" s="101">
        <f>C15</f>
        <v>1.77</v>
      </c>
      <c r="E16" s="101">
        <f>D16+D15</f>
        <v>3.6816000000000004</v>
      </c>
      <c r="F16" s="101">
        <f>C15+D15+E15</f>
        <v>5.7461280000000006</v>
      </c>
      <c r="G16" s="101">
        <f>C15+D15+E15+F15</f>
        <v>7.9758182400000006</v>
      </c>
      <c r="H16" s="101">
        <f t="shared" ref="H16:N16" si="3">C15+D15+E15+F15+G15</f>
        <v>10.383883699200002</v>
      </c>
      <c r="I16" s="101">
        <f t="shared" si="3"/>
        <v>11.214594395136004</v>
      </c>
      <c r="J16" s="101">
        <f t="shared" si="3"/>
        <v>12.111761946746885</v>
      </c>
      <c r="K16" s="101">
        <f t="shared" si="3"/>
        <v>13.080702902486635</v>
      </c>
      <c r="L16" s="101">
        <f t="shared" si="3"/>
        <v>14.127159134685568</v>
      </c>
      <c r="M16" s="101">
        <f t="shared" si="3"/>
        <v>15.257331865460417</v>
      </c>
      <c r="N16" s="101">
        <f t="shared" si="3"/>
        <v>16.47791841469725</v>
      </c>
      <c r="O16" s="21">
        <f t="shared" si="1"/>
        <v>111.82689859841275</v>
      </c>
      <c r="P16" s="22"/>
    </row>
    <row r="17" spans="1:17" s="98" customFormat="1" ht="12.75" customHeight="1" x14ac:dyDescent="0.2">
      <c r="A17" s="23" t="s">
        <v>223</v>
      </c>
      <c r="B17" s="102"/>
      <c r="C17" s="103">
        <f>SUM(C10:C15)</f>
        <v>28.319999999999997</v>
      </c>
      <c r="D17" s="103">
        <f t="shared" ref="D17:N17" si="4">SUM(D10:D15)</f>
        <v>35.895600000000002</v>
      </c>
      <c r="E17" s="103">
        <f t="shared" si="4"/>
        <v>44.077248000000004</v>
      </c>
      <c r="F17" s="103">
        <f t="shared" si="4"/>
        <v>52.913427840000004</v>
      </c>
      <c r="G17" s="103">
        <f t="shared" si="4"/>
        <v>62.45650206720002</v>
      </c>
      <c r="H17" s="103">
        <f t="shared" si="4"/>
        <v>72.76302223257602</v>
      </c>
      <c r="I17" s="103">
        <f t="shared" si="4"/>
        <v>78.584064011182107</v>
      </c>
      <c r="J17" s="103">
        <f t="shared" si="4"/>
        <v>84.870789132076681</v>
      </c>
      <c r="K17" s="103">
        <f t="shared" si="4"/>
        <v>91.660452262642806</v>
      </c>
      <c r="L17" s="103">
        <f t="shared" si="4"/>
        <v>98.993288443654251</v>
      </c>
      <c r="M17" s="103">
        <f t="shared" si="4"/>
        <v>106.9127515191466</v>
      </c>
      <c r="N17" s="103">
        <f t="shared" si="4"/>
        <v>115.46577164067833</v>
      </c>
      <c r="O17" s="25"/>
      <c r="P17" s="97"/>
    </row>
    <row r="18" spans="1:17" ht="12.75" customHeight="1" x14ac:dyDescent="0.2">
      <c r="A18" s="19"/>
      <c r="B18" s="100"/>
      <c r="C18" s="101"/>
      <c r="D18" s="101"/>
      <c r="E18" s="101"/>
      <c r="F18" s="101"/>
      <c r="G18" s="101"/>
      <c r="H18" s="101"/>
      <c r="I18" s="101"/>
      <c r="J18" s="101"/>
      <c r="K18" s="101"/>
      <c r="L18" s="100"/>
      <c r="M18" s="100"/>
      <c r="N18" s="100"/>
      <c r="O18" s="21"/>
      <c r="P18" s="22"/>
    </row>
    <row r="19" spans="1:17" ht="12.75" customHeight="1" x14ac:dyDescent="0.2">
      <c r="A19" s="19"/>
      <c r="B19" s="100"/>
      <c r="C19" s="101"/>
      <c r="D19" s="101"/>
      <c r="E19" s="101"/>
      <c r="F19" s="101"/>
      <c r="G19" s="101"/>
      <c r="H19" s="101"/>
      <c r="I19" s="101"/>
      <c r="J19" s="101"/>
      <c r="K19" s="101"/>
      <c r="L19" s="100"/>
      <c r="M19" s="100"/>
      <c r="N19" s="100"/>
      <c r="O19" s="21"/>
      <c r="P19" s="22"/>
    </row>
    <row r="20" spans="1:17" ht="12.75" customHeight="1" x14ac:dyDescent="0.2">
      <c r="A20" s="23" t="s">
        <v>224</v>
      </c>
      <c r="B20" s="100"/>
      <c r="C20" s="101"/>
      <c r="D20" s="101"/>
      <c r="E20" s="101"/>
      <c r="F20" s="101"/>
      <c r="G20" s="101"/>
      <c r="H20" s="101"/>
      <c r="I20" s="101"/>
      <c r="J20" s="101"/>
      <c r="K20" s="101"/>
      <c r="L20" s="100"/>
      <c r="M20" s="100"/>
      <c r="N20" s="100"/>
      <c r="O20" s="21"/>
      <c r="P20" s="22"/>
    </row>
    <row r="21" spans="1:17" ht="12.75" customHeight="1" x14ac:dyDescent="0.2">
      <c r="A21" s="19" t="s">
        <v>219</v>
      </c>
      <c r="B21" s="100"/>
      <c r="C21" s="101">
        <f>(Assumptions!D169)*Assumptions!D135*Assumptions!G139</f>
        <v>15.292800000000002</v>
      </c>
      <c r="D21" s="101">
        <f>C21*Assumptions!G139</f>
        <v>16.516224000000001</v>
      </c>
      <c r="E21" s="101">
        <f>D21*Assumptions!G139</f>
        <v>17.837521920000004</v>
      </c>
      <c r="F21" s="101">
        <f>E21*Assumptions!G139</f>
        <v>19.264523673600007</v>
      </c>
      <c r="G21" s="101">
        <f>F21*Assumptions!G139</f>
        <v>20.805685567488009</v>
      </c>
      <c r="H21" s="101">
        <f>G21*Assumptions!G139</f>
        <v>22.470140412887051</v>
      </c>
      <c r="I21" s="101">
        <f>H21*Assumptions!G139</f>
        <v>24.267751645918018</v>
      </c>
      <c r="J21" s="101">
        <f>I21*Assumptions!G139</f>
        <v>26.209171777591461</v>
      </c>
      <c r="K21" s="101">
        <f>J21*Assumptions!G139</f>
        <v>28.305905519798781</v>
      </c>
      <c r="L21" s="101">
        <f>K21*Assumptions!G139</f>
        <v>30.570377961382686</v>
      </c>
      <c r="M21" s="101">
        <f>L21*Assumptions!G139</f>
        <v>33.016008198293306</v>
      </c>
      <c r="N21" s="101">
        <f>M21*Assumptions!G139</f>
        <v>35.657288854156775</v>
      </c>
      <c r="O21" s="21">
        <f>SUM(N21,M21,L21,K21,J21,I21,H21,G21,F21,E21,D21,C21)</f>
        <v>290.21339953111612</v>
      </c>
      <c r="P21" s="22"/>
      <c r="Q21" s="96" t="s">
        <v>222</v>
      </c>
    </row>
    <row r="22" spans="1:17" ht="12.75" customHeight="1" x14ac:dyDescent="0.2">
      <c r="A22" s="23" t="s">
        <v>223</v>
      </c>
      <c r="B22" s="24"/>
      <c r="C22" s="25">
        <f t="shared" ref="C22:N22" si="5">SUM(C21:C21)</f>
        <v>15.292800000000002</v>
      </c>
      <c r="D22" s="25">
        <f t="shared" si="5"/>
        <v>16.516224000000001</v>
      </c>
      <c r="E22" s="25">
        <f t="shared" si="5"/>
        <v>17.837521920000004</v>
      </c>
      <c r="F22" s="25">
        <f t="shared" si="5"/>
        <v>19.264523673600007</v>
      </c>
      <c r="G22" s="25">
        <f t="shared" si="5"/>
        <v>20.805685567488009</v>
      </c>
      <c r="H22" s="25">
        <f t="shared" si="5"/>
        <v>22.470140412887051</v>
      </c>
      <c r="I22" s="25">
        <f t="shared" si="5"/>
        <v>24.267751645918018</v>
      </c>
      <c r="J22" s="25">
        <f t="shared" si="5"/>
        <v>26.209171777591461</v>
      </c>
      <c r="K22" s="25">
        <f t="shared" si="5"/>
        <v>28.305905519798781</v>
      </c>
      <c r="L22" s="25">
        <f t="shared" si="5"/>
        <v>30.570377961382686</v>
      </c>
      <c r="M22" s="25">
        <f t="shared" si="5"/>
        <v>33.016008198293306</v>
      </c>
      <c r="N22" s="25">
        <f t="shared" si="5"/>
        <v>35.657288854156775</v>
      </c>
      <c r="O22" s="25"/>
      <c r="P22" s="27"/>
    </row>
    <row r="23" spans="1:17" ht="12.75" customHeight="1" x14ac:dyDescent="0.2">
      <c r="A23" s="2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6"/>
    </row>
    <row r="24" spans="1:17" ht="12.75" customHeight="1" x14ac:dyDescent="0.2">
      <c r="A24" s="1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6"/>
    </row>
    <row r="25" spans="1:17" ht="12.7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6"/>
    </row>
    <row r="26" spans="1:17" ht="12.75" customHeight="1" x14ac:dyDescent="0.2">
      <c r="A26" s="1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6"/>
    </row>
    <row r="27" spans="1:17" ht="12.75" customHeight="1" x14ac:dyDescent="0.2">
      <c r="A27" s="1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6"/>
    </row>
    <row r="28" spans="1:17" ht="12.75" customHeight="1" x14ac:dyDescent="0.2">
      <c r="A28" s="1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6"/>
    </row>
    <row r="29" spans="1:17" ht="12.75" customHeight="1" x14ac:dyDescent="0.2">
      <c r="A29" s="1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6"/>
    </row>
    <row r="30" spans="1:17" ht="12.75" customHeight="1" x14ac:dyDescent="0.2">
      <c r="A30" s="1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6"/>
    </row>
    <row r="31" spans="1:17" ht="12.75" customHeight="1" x14ac:dyDescent="0.2">
      <c r="A31" s="1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6"/>
    </row>
    <row r="32" spans="1:17" ht="12.75" customHeight="1" x14ac:dyDescent="0.2">
      <c r="A32" s="1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6"/>
    </row>
    <row r="33" spans="1:16" ht="12.75" customHeight="1" x14ac:dyDescent="0.2">
      <c r="A33" s="1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6"/>
    </row>
    <row r="34" spans="1:16" ht="12.75" customHeight="1" x14ac:dyDescent="0.2">
      <c r="A34" s="1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6"/>
    </row>
    <row r="35" spans="1:16" ht="12.75" customHeight="1" x14ac:dyDescent="0.2">
      <c r="A35" s="1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6"/>
    </row>
    <row r="36" spans="1:16" ht="12.75" customHeight="1" x14ac:dyDescent="0.2">
      <c r="A36" s="1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6"/>
    </row>
    <row r="37" spans="1:16" ht="12.75" customHeight="1" x14ac:dyDescent="0.2">
      <c r="A37" s="1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6"/>
    </row>
    <row r="38" spans="1:16" ht="12.75" customHeight="1" x14ac:dyDescent="0.2">
      <c r="A38" s="1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6"/>
    </row>
    <row r="39" spans="1:16" ht="12.75" customHeight="1" x14ac:dyDescent="0.2">
      <c r="A39" s="1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6"/>
    </row>
    <row r="40" spans="1:16" ht="12.75" customHeight="1" x14ac:dyDescent="0.2">
      <c r="A40" s="1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6"/>
    </row>
    <row r="41" spans="1:16" ht="12.75" customHeight="1" x14ac:dyDescent="0.2">
      <c r="A41" s="1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6"/>
    </row>
    <row r="42" spans="1:16" ht="12.75" customHeight="1" x14ac:dyDescent="0.2">
      <c r="A42" s="1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6"/>
    </row>
    <row r="43" spans="1:16" ht="12.75" customHeight="1" x14ac:dyDescent="0.2">
      <c r="A43" s="1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6"/>
    </row>
    <row r="44" spans="1:16" ht="12.75" customHeight="1" x14ac:dyDescent="0.2">
      <c r="A44" s="1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6"/>
    </row>
    <row r="45" spans="1:16" ht="12.75" customHeight="1" x14ac:dyDescent="0.2">
      <c r="A45" s="1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6"/>
    </row>
    <row r="46" spans="1:16" ht="12.75" customHeight="1" x14ac:dyDescent="0.2">
      <c r="A46" s="1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6"/>
    </row>
    <row r="47" spans="1:16" ht="12.75" customHeight="1" x14ac:dyDescent="0.2">
      <c r="A47" s="1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6"/>
    </row>
    <row r="48" spans="1:16" ht="12.75" customHeight="1" x14ac:dyDescent="0.2">
      <c r="A48" s="1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6"/>
    </row>
    <row r="49" spans="1:16" ht="12.75" customHeight="1" x14ac:dyDescent="0.2">
      <c r="A49" s="1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6"/>
    </row>
    <row r="50" spans="1:16" ht="12.75" customHeight="1" x14ac:dyDescent="0.2">
      <c r="A50" s="1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6"/>
    </row>
    <row r="51" spans="1:16" ht="12.75" customHeight="1" x14ac:dyDescent="0.2">
      <c r="A51" s="1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6"/>
    </row>
    <row r="52" spans="1:16" ht="12.75" customHeight="1" x14ac:dyDescent="0.2">
      <c r="A52" s="1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6"/>
    </row>
    <row r="53" spans="1:16" ht="12.75" customHeight="1" x14ac:dyDescent="0.2">
      <c r="A53" s="1"/>
      <c r="B53" s="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1"/>
      <c r="P53" s="6"/>
    </row>
  </sheetData>
  <pageMargins left="0.7" right="0.7" top="0.75" bottom="0.75" header="0.3" footer="0.3"/>
  <pageSetup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zoomScaleNormal="100" workbookViewId="0"/>
  </sheetViews>
  <sheetFormatPr defaultRowHeight="12.75" x14ac:dyDescent="0.2"/>
  <cols>
    <col min="1" max="1" width="25" bestFit="1" customWidth="1"/>
    <col min="2" max="2" width="13" bestFit="1" customWidth="1"/>
    <col min="3" max="16" width="7" bestFit="1" customWidth="1"/>
    <col min="17" max="17" width="7.7109375" customWidth="1"/>
    <col min="18" max="18" width="7" bestFit="1" customWidth="1"/>
    <col min="19" max="19" width="7.42578125" customWidth="1"/>
    <col min="20" max="20" width="7" bestFit="1" customWidth="1"/>
    <col min="21" max="21" width="8.28515625" customWidth="1"/>
    <col min="22" max="22" width="7" bestFit="1" customWidth="1"/>
    <col min="23" max="23" width="7.42578125" customWidth="1"/>
    <col min="24" max="24" width="7" bestFit="1" customWidth="1"/>
    <col min="25" max="25" width="7.28515625" customWidth="1"/>
    <col min="26" max="26" width="7" bestFit="1" customWidth="1"/>
    <col min="27" max="27" width="10" bestFit="1" customWidth="1"/>
    <col min="28" max="28" width="8" bestFit="1" customWidth="1"/>
  </cols>
  <sheetData>
    <row r="1" spans="1:28" ht="19.5" customHeight="1" x14ac:dyDescent="0.3">
      <c r="A1" s="37" t="s">
        <v>0</v>
      </c>
      <c r="B1" s="1"/>
      <c r="C1" s="1"/>
      <c r="D1" s="1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1"/>
    </row>
    <row r="2" spans="1:28" ht="12.75" customHeight="1" x14ac:dyDescent="0.2">
      <c r="A2" s="3" t="s">
        <v>1</v>
      </c>
      <c r="B2" s="1"/>
      <c r="C2" s="1"/>
      <c r="D2" s="1"/>
      <c r="E2" s="1"/>
      <c r="F2" s="2"/>
      <c r="G2" s="1"/>
      <c r="H2" s="2"/>
      <c r="I2" s="1"/>
      <c r="J2" s="2"/>
      <c r="K2" s="1"/>
      <c r="L2" s="2"/>
      <c r="M2" s="1"/>
      <c r="N2" s="2"/>
      <c r="O2" s="1"/>
      <c r="P2" s="2"/>
      <c r="Q2" s="1"/>
      <c r="R2" s="2"/>
      <c r="S2" s="1"/>
      <c r="T2" s="2"/>
      <c r="U2" s="1"/>
      <c r="V2" s="2"/>
      <c r="W2" s="1"/>
      <c r="X2" s="2"/>
      <c r="Y2" s="1"/>
      <c r="Z2" s="2"/>
      <c r="AA2" s="1"/>
      <c r="AB2" s="1"/>
    </row>
    <row r="3" spans="1:28" ht="12.75" customHeight="1" x14ac:dyDescent="0.2">
      <c r="A3" s="141" t="s">
        <v>254</v>
      </c>
      <c r="B3" s="1"/>
      <c r="C3" s="1"/>
      <c r="D3" s="1"/>
      <c r="E3" s="1"/>
      <c r="F3" s="2"/>
      <c r="G3" s="1"/>
      <c r="H3" s="2"/>
      <c r="I3" s="1"/>
      <c r="J3" s="2"/>
      <c r="K3" s="1"/>
      <c r="L3" s="2"/>
      <c r="M3" s="1"/>
      <c r="N3" s="2"/>
      <c r="O3" s="1"/>
      <c r="P3" s="2"/>
      <c r="Q3" s="1"/>
      <c r="R3" s="2"/>
      <c r="S3" s="1"/>
      <c r="T3" s="2"/>
      <c r="U3" s="1"/>
      <c r="V3" s="2"/>
      <c r="W3" s="1"/>
      <c r="X3" s="2"/>
      <c r="Y3" s="1"/>
      <c r="Z3" s="2"/>
      <c r="AA3" s="1"/>
      <c r="AB3" s="1"/>
    </row>
    <row r="4" spans="1:28" ht="15" customHeight="1" x14ac:dyDescent="0.2">
      <c r="A4" s="4"/>
      <c r="B4" s="1"/>
      <c r="C4" s="1"/>
      <c r="D4" s="1"/>
      <c r="E4" s="1"/>
      <c r="F4" s="2"/>
      <c r="G4" s="1"/>
      <c r="H4" s="2"/>
      <c r="I4" s="1"/>
      <c r="J4" s="2"/>
      <c r="K4" s="1"/>
      <c r="L4" s="2"/>
      <c r="M4" s="1"/>
      <c r="N4" s="2"/>
      <c r="O4" s="1"/>
      <c r="P4" s="2"/>
      <c r="Q4" s="1"/>
      <c r="R4" s="2"/>
      <c r="S4" s="1"/>
      <c r="T4" s="2"/>
      <c r="U4" s="1"/>
      <c r="V4" s="2"/>
      <c r="W4" s="1"/>
      <c r="X4" s="2"/>
      <c r="Y4" s="1"/>
      <c r="Z4" s="2"/>
      <c r="AA4" s="1"/>
      <c r="AB4" s="1"/>
    </row>
    <row r="5" spans="1:28" ht="12.75" customHeight="1" x14ac:dyDescent="0.2">
      <c r="A5" s="5" t="s">
        <v>2</v>
      </c>
      <c r="B5" s="1"/>
      <c r="C5" s="1"/>
      <c r="D5" s="1"/>
      <c r="E5" s="1"/>
      <c r="F5" s="2"/>
      <c r="G5" s="1"/>
      <c r="H5" s="2"/>
      <c r="I5" s="1"/>
      <c r="J5" s="2"/>
      <c r="K5" s="1"/>
      <c r="L5" s="2"/>
      <c r="M5" s="1"/>
      <c r="N5" s="2"/>
      <c r="O5" s="1"/>
      <c r="P5" s="2"/>
      <c r="Q5" s="1"/>
      <c r="R5" s="2"/>
      <c r="S5" s="1"/>
      <c r="T5" s="2"/>
      <c r="U5" s="1"/>
      <c r="V5" s="2"/>
      <c r="W5" s="1"/>
      <c r="X5" s="2"/>
      <c r="Y5" s="1"/>
      <c r="Z5" s="2"/>
      <c r="AA5" s="1"/>
      <c r="AB5" s="6"/>
    </row>
    <row r="6" spans="1:28" ht="12.75" customHeight="1" x14ac:dyDescent="0.2">
      <c r="A6" s="140">
        <v>40909</v>
      </c>
      <c r="B6" s="7"/>
      <c r="C6" s="1"/>
      <c r="D6" s="1"/>
      <c r="E6" s="1"/>
      <c r="F6" s="2"/>
      <c r="G6" s="1"/>
      <c r="H6" s="2"/>
      <c r="I6" s="1"/>
      <c r="J6" s="2"/>
      <c r="K6" s="1"/>
      <c r="L6" s="2"/>
      <c r="M6" s="1"/>
      <c r="N6" s="2"/>
      <c r="O6" s="1"/>
      <c r="P6" s="2"/>
      <c r="Q6" s="1"/>
      <c r="R6" s="2"/>
      <c r="S6" s="1"/>
      <c r="T6" s="2"/>
      <c r="U6" s="1"/>
      <c r="V6" s="2"/>
      <c r="W6" s="1"/>
      <c r="X6" s="2"/>
      <c r="Y6" s="1"/>
      <c r="Z6" s="2"/>
      <c r="AA6" s="1"/>
      <c r="AB6" s="6"/>
    </row>
    <row r="7" spans="1:28" ht="12.75" customHeight="1" x14ac:dyDescent="0.2">
      <c r="A7" s="8"/>
      <c r="B7" s="9"/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  <c r="O7" s="9"/>
      <c r="P7" s="10"/>
      <c r="Q7" s="9"/>
      <c r="R7" s="10"/>
      <c r="S7" s="9"/>
      <c r="T7" s="10"/>
      <c r="U7" s="9"/>
      <c r="V7" s="10"/>
      <c r="W7" s="9"/>
      <c r="X7" s="10"/>
      <c r="Y7" s="9"/>
      <c r="Z7" s="10"/>
      <c r="AA7" s="9"/>
      <c r="AB7" s="6"/>
    </row>
    <row r="8" spans="1:28" ht="24" customHeight="1" x14ac:dyDescent="0.2">
      <c r="A8" s="11"/>
      <c r="B8" s="12"/>
      <c r="C8" s="13">
        <f>A6</f>
        <v>40909</v>
      </c>
      <c r="D8" s="14" t="s">
        <v>252</v>
      </c>
      <c r="E8" s="13">
        <f>DATE(YEAR(A6),MONTH(A6)+1,1)</f>
        <v>40940</v>
      </c>
      <c r="F8" s="12" t="s">
        <v>3</v>
      </c>
      <c r="G8" s="13">
        <f>DATE(YEAR(E8),MONTH(E8)+1,1)</f>
        <v>40969</v>
      </c>
      <c r="H8" s="12" t="s">
        <v>3</v>
      </c>
      <c r="I8" s="13">
        <f>DATE(YEAR(G8),MONTH(G8)+1,1)</f>
        <v>41000</v>
      </c>
      <c r="J8" s="12" t="s">
        <v>3</v>
      </c>
      <c r="K8" s="13">
        <f>DATE(YEAR(I8),MONTH(I8)+1,1)</f>
        <v>41030</v>
      </c>
      <c r="L8" s="12" t="s">
        <v>3</v>
      </c>
      <c r="M8" s="13">
        <f>DATE(YEAR(K8),MONTH(K8)+1,1)</f>
        <v>41061</v>
      </c>
      <c r="N8" s="12" t="s">
        <v>3</v>
      </c>
      <c r="O8" s="13">
        <f>DATE(YEAR(M8),MONTH(M8)+1,1)</f>
        <v>41091</v>
      </c>
      <c r="P8" s="12" t="s">
        <v>3</v>
      </c>
      <c r="Q8" s="13">
        <f>DATE(YEAR(O8),MONTH(O8)+1,1)</f>
        <v>41122</v>
      </c>
      <c r="R8" s="12" t="s">
        <v>3</v>
      </c>
      <c r="S8" s="13">
        <f>DATE(YEAR(Q8),MONTH(Q8)+1,1)</f>
        <v>41153</v>
      </c>
      <c r="T8" s="12" t="s">
        <v>3</v>
      </c>
      <c r="U8" s="13">
        <f>DATE(YEAR(S8),MONTH(S8)+1,1)</f>
        <v>41183</v>
      </c>
      <c r="V8" s="12" t="s">
        <v>3</v>
      </c>
      <c r="W8" s="13">
        <f>DATE(YEAR(U8),MONTH(U8)+1,1)</f>
        <v>41214</v>
      </c>
      <c r="X8" s="12" t="s">
        <v>3</v>
      </c>
      <c r="Y8" s="13">
        <f>DATE(YEAR(W8),MONTH(W8)+1,1)</f>
        <v>41244</v>
      </c>
      <c r="Z8" s="15" t="s">
        <v>3</v>
      </c>
      <c r="AA8" s="12" t="s">
        <v>4</v>
      </c>
      <c r="AB8" s="7"/>
    </row>
    <row r="9" spans="1:28" ht="12.75" customHeight="1" x14ac:dyDescent="0.2">
      <c r="A9" s="16" t="s">
        <v>5</v>
      </c>
      <c r="B9" s="17"/>
      <c r="C9" s="17"/>
      <c r="D9" s="18"/>
      <c r="E9" s="17"/>
      <c r="F9" s="18"/>
      <c r="G9" s="17"/>
      <c r="H9" s="18"/>
      <c r="I9" s="17"/>
      <c r="J9" s="18"/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6"/>
    </row>
    <row r="10" spans="1:28" ht="12.75" customHeight="1" x14ac:dyDescent="0.2">
      <c r="A10" s="19" t="s">
        <v>213</v>
      </c>
      <c r="B10" s="100"/>
      <c r="C10" s="101">
        <f>Assumptions!D135*Assumptions!D156*Assumptions!D164</f>
        <v>10620</v>
      </c>
      <c r="D10" s="20">
        <f t="shared" ref="D10:D16" si="0">IF(C$17=0,"-",(C10*100)/C$17)</f>
        <v>31.25</v>
      </c>
      <c r="E10" s="101">
        <f>C10*Assumptions!$G$139</f>
        <v>11469.6</v>
      </c>
      <c r="F10" s="20">
        <f t="shared" ref="F10:F16" si="1">IF(E$17=0,"-",(E10*100)/E$17)</f>
        <v>31.250000000000004</v>
      </c>
      <c r="G10" s="101">
        <f>E10*Assumptions!$G$139</f>
        <v>12387.168000000001</v>
      </c>
      <c r="H10" s="20">
        <f t="shared" ref="H10:H16" si="2">IF(G$17=0,"-",(G10*100)/G$17)</f>
        <v>31.249999999999996</v>
      </c>
      <c r="I10" s="101">
        <f>G10*Assumptions!$G$139</f>
        <v>13378.141440000003</v>
      </c>
      <c r="J10" s="20">
        <f t="shared" ref="J10:J16" si="3">IF(I$17=0,"-",(I10*100)/I$17)</f>
        <v>31.249999999999996</v>
      </c>
      <c r="K10" s="101">
        <f>I10*Assumptions!$G$139</f>
        <v>14448.392755200004</v>
      </c>
      <c r="L10" s="20">
        <f t="shared" ref="L10:L16" si="4">IF(K$17=0,"-",(K10*100)/K$17)</f>
        <v>31.25</v>
      </c>
      <c r="M10" s="101">
        <f>K10*Assumptions!$G$139</f>
        <v>15604.264175616005</v>
      </c>
      <c r="N10" s="20">
        <f t="shared" ref="N10:N16" si="5">IF(M$17=0,"-",(M10*100)/M$17)</f>
        <v>31.25</v>
      </c>
      <c r="O10" s="101">
        <f>M10*Assumptions!$G$139</f>
        <v>16852.605309665287</v>
      </c>
      <c r="P10" s="20">
        <f t="shared" ref="P10:P16" si="6">IF(O$17=0,"-",(O10*100)/O$17)</f>
        <v>31.25</v>
      </c>
      <c r="Q10" s="101">
        <f>O10*Assumptions!$G$139</f>
        <v>18200.81373443851</v>
      </c>
      <c r="R10" s="20">
        <f t="shared" ref="R10:R16" si="7">IF(Q$17=0,"-",(Q10*100)/Q$17)</f>
        <v>31.249999999999993</v>
      </c>
      <c r="S10" s="101">
        <f>Q10*Assumptions!$G$139</f>
        <v>19656.878833193594</v>
      </c>
      <c r="T10" s="20">
        <f t="shared" ref="T10:T16" si="8">IF(S$17=0,"-",(S10*100)/S$17)</f>
        <v>31.249999999999996</v>
      </c>
      <c r="U10" s="101">
        <f>S10*Assumptions!$G$139</f>
        <v>21229.429139849082</v>
      </c>
      <c r="V10" s="20">
        <f t="shared" ref="V10:V16" si="9">IF(U$17=0,"-",(U10*100)/U$17)</f>
        <v>31.249999999999996</v>
      </c>
      <c r="W10" s="101">
        <f>U10*Assumptions!$G$139</f>
        <v>22927.783471037012</v>
      </c>
      <c r="X10" s="20">
        <f t="shared" ref="X10:X16" si="10">IF(W$17=0,"-",(W10*100)/W$17)</f>
        <v>31.25</v>
      </c>
      <c r="Y10" s="101">
        <f>W10*Assumptions!$G$139</f>
        <v>24762.006148719975</v>
      </c>
      <c r="Z10" s="20">
        <f t="shared" ref="Z10:Z16" si="11">IF(Y$17=0,"-",(Y10*100)/Y$17)</f>
        <v>31.250000000000004</v>
      </c>
      <c r="AA10" s="21">
        <f t="shared" ref="AA10:AA16" si="12">SUM(Y10,W10,U10,S10,Q10,O10,M10,K10,I10,G10,E10,C10)</f>
        <v>201537.08300771948</v>
      </c>
      <c r="AB10" s="22"/>
    </row>
    <row r="11" spans="1:28" ht="12.75" customHeight="1" x14ac:dyDescent="0.2">
      <c r="A11" s="19" t="s">
        <v>214</v>
      </c>
      <c r="B11" s="100"/>
      <c r="C11" s="101">
        <f>Assumptions!D135*Assumptions!D165*Assumptions!D156</f>
        <v>7080</v>
      </c>
      <c r="D11" s="20">
        <f t="shared" si="0"/>
        <v>20.833333333333332</v>
      </c>
      <c r="E11" s="101">
        <f>C11*Assumptions!$G$139</f>
        <v>7646.4000000000005</v>
      </c>
      <c r="F11" s="20">
        <f t="shared" si="1"/>
        <v>20.833333333333336</v>
      </c>
      <c r="G11" s="101">
        <f>E11*Assumptions!$G$139</f>
        <v>8258.112000000001</v>
      </c>
      <c r="H11" s="20">
        <f t="shared" si="2"/>
        <v>20.833333333333332</v>
      </c>
      <c r="I11" s="101">
        <f>G11*Assumptions!$G$139</f>
        <v>8918.7609600000014</v>
      </c>
      <c r="J11" s="20">
        <f t="shared" si="3"/>
        <v>20.833333333333329</v>
      </c>
      <c r="K11" s="101">
        <f>I11*Assumptions!$G$139</f>
        <v>9632.2618368000021</v>
      </c>
      <c r="L11" s="20">
        <f t="shared" si="4"/>
        <v>20.833333333333332</v>
      </c>
      <c r="M11" s="101">
        <f>K11*Assumptions!$G$139</f>
        <v>10402.842783744003</v>
      </c>
      <c r="N11" s="20">
        <f t="shared" si="5"/>
        <v>20.833333333333336</v>
      </c>
      <c r="O11" s="101">
        <f>M11*Assumptions!$G$139</f>
        <v>11235.070206443525</v>
      </c>
      <c r="P11" s="20">
        <f t="shared" si="6"/>
        <v>20.833333333333336</v>
      </c>
      <c r="Q11" s="101">
        <f>O11*Assumptions!$G$139</f>
        <v>12133.875822959008</v>
      </c>
      <c r="R11" s="20">
        <f t="shared" si="7"/>
        <v>20.833333333333329</v>
      </c>
      <c r="S11" s="101">
        <f>Q11*Assumptions!$G$139</f>
        <v>13104.585888795729</v>
      </c>
      <c r="T11" s="20">
        <f t="shared" si="8"/>
        <v>20.833333333333332</v>
      </c>
      <c r="U11" s="101">
        <f>S11*Assumptions!$G$139</f>
        <v>14152.952759899388</v>
      </c>
      <c r="V11" s="20">
        <f t="shared" si="9"/>
        <v>20.833333333333329</v>
      </c>
      <c r="W11" s="101">
        <f>U11*Assumptions!$G$139</f>
        <v>15285.18898069134</v>
      </c>
      <c r="X11" s="20">
        <f t="shared" si="10"/>
        <v>20.833333333333332</v>
      </c>
      <c r="Y11" s="101">
        <f>W11*Assumptions!$G$139</f>
        <v>16508.004099146649</v>
      </c>
      <c r="Z11" s="20">
        <f t="shared" si="11"/>
        <v>20.833333333333336</v>
      </c>
      <c r="AA11" s="21">
        <f t="shared" si="12"/>
        <v>134358.05533847964</v>
      </c>
      <c r="AB11" s="22"/>
    </row>
    <row r="12" spans="1:28" ht="12.75" customHeight="1" x14ac:dyDescent="0.2">
      <c r="A12" s="19" t="s">
        <v>218</v>
      </c>
      <c r="B12" s="100"/>
      <c r="C12" s="101">
        <f>Assumptions!D166*Assumptions!D154*Assumptions!D135</f>
        <v>1416</v>
      </c>
      <c r="D12" s="20">
        <f t="shared" si="0"/>
        <v>4.166666666666667</v>
      </c>
      <c r="E12" s="101">
        <f>C12*Assumptions!$G$139</f>
        <v>1529.2800000000002</v>
      </c>
      <c r="F12" s="20">
        <f t="shared" si="1"/>
        <v>4.1666666666666679</v>
      </c>
      <c r="G12" s="101">
        <f>E12*Assumptions!$G$139</f>
        <v>1651.6224000000004</v>
      </c>
      <c r="H12" s="20">
        <f t="shared" si="2"/>
        <v>4.166666666666667</v>
      </c>
      <c r="I12" s="101">
        <f>G12*Assumptions!$G$139</f>
        <v>1783.7521920000006</v>
      </c>
      <c r="J12" s="20">
        <f t="shared" si="3"/>
        <v>4.166666666666667</v>
      </c>
      <c r="K12" s="101">
        <f>I12*Assumptions!$G$139</f>
        <v>1926.4523673600008</v>
      </c>
      <c r="L12" s="20">
        <f t="shared" si="4"/>
        <v>4.166666666666667</v>
      </c>
      <c r="M12" s="101">
        <f>K12*Assumptions!$G$139</f>
        <v>2080.5685567488013</v>
      </c>
      <c r="N12" s="20">
        <f t="shared" si="5"/>
        <v>4.1666666666666679</v>
      </c>
      <c r="O12" s="101">
        <f>M12*Assumptions!$G$139</f>
        <v>2247.0140412887054</v>
      </c>
      <c r="P12" s="20">
        <f t="shared" si="6"/>
        <v>4.1666666666666679</v>
      </c>
      <c r="Q12" s="101">
        <f>O12*Assumptions!$G$139</f>
        <v>2426.775164591802</v>
      </c>
      <c r="R12" s="20">
        <f t="shared" si="7"/>
        <v>4.166666666666667</v>
      </c>
      <c r="S12" s="101">
        <f>Q12*Assumptions!$G$139</f>
        <v>2620.9171777591464</v>
      </c>
      <c r="T12" s="20">
        <f t="shared" si="8"/>
        <v>4.166666666666667</v>
      </c>
      <c r="U12" s="101">
        <f>S12*Assumptions!$G$139</f>
        <v>2830.5905519798785</v>
      </c>
      <c r="V12" s="20">
        <f t="shared" si="9"/>
        <v>4.166666666666667</v>
      </c>
      <c r="W12" s="101">
        <f>U12*Assumptions!$G$139</f>
        <v>3057.0377961382687</v>
      </c>
      <c r="X12" s="20">
        <f t="shared" si="10"/>
        <v>4.1666666666666679</v>
      </c>
      <c r="Y12" s="101">
        <f>W12*Assumptions!$G$139</f>
        <v>3301.6008198293302</v>
      </c>
      <c r="Z12" s="20">
        <f t="shared" si="11"/>
        <v>4.1666666666666679</v>
      </c>
      <c r="AA12" s="21">
        <f t="shared" si="12"/>
        <v>26871.611067695932</v>
      </c>
      <c r="AB12" s="22"/>
    </row>
    <row r="13" spans="1:28" ht="12.75" customHeight="1" x14ac:dyDescent="0.2">
      <c r="A13" s="19" t="s">
        <v>212</v>
      </c>
      <c r="B13" s="100"/>
      <c r="C13" s="101">
        <f>Assumptions!D135*Assumptions!D153*Assumptions!D149*Assumptions!D167</f>
        <v>9558</v>
      </c>
      <c r="D13" s="20">
        <f t="shared" si="0"/>
        <v>28.125</v>
      </c>
      <c r="E13" s="101">
        <f>C13*Assumptions!$G$139</f>
        <v>10322.640000000001</v>
      </c>
      <c r="F13" s="20">
        <f t="shared" si="1"/>
        <v>28.125000000000007</v>
      </c>
      <c r="G13" s="101">
        <f>E13*Assumptions!$G$139</f>
        <v>11148.451200000001</v>
      </c>
      <c r="H13" s="20">
        <f t="shared" si="2"/>
        <v>28.125</v>
      </c>
      <c r="I13" s="101">
        <f>G13*Assumptions!$G$139</f>
        <v>12040.327296000003</v>
      </c>
      <c r="J13" s="20">
        <f t="shared" si="3"/>
        <v>28.124999999999996</v>
      </c>
      <c r="K13" s="101">
        <f>I13*Assumptions!$G$139</f>
        <v>13003.553479680004</v>
      </c>
      <c r="L13" s="20">
        <f t="shared" si="4"/>
        <v>28.125</v>
      </c>
      <c r="M13" s="101">
        <f>K13*Assumptions!$G$139</f>
        <v>14043.837758054406</v>
      </c>
      <c r="N13" s="20">
        <f t="shared" si="5"/>
        <v>28.125000000000004</v>
      </c>
      <c r="O13" s="101">
        <f>M13*Assumptions!$G$139</f>
        <v>15167.34477869876</v>
      </c>
      <c r="P13" s="20">
        <f t="shared" si="6"/>
        <v>28.125000000000004</v>
      </c>
      <c r="Q13" s="101">
        <f>O13*Assumptions!$G$139</f>
        <v>16380.732360994662</v>
      </c>
      <c r="R13" s="20">
        <f t="shared" si="7"/>
        <v>28.125</v>
      </c>
      <c r="S13" s="101">
        <f>Q13*Assumptions!$G$139</f>
        <v>17691.190949874235</v>
      </c>
      <c r="T13" s="20">
        <f t="shared" si="8"/>
        <v>28.125</v>
      </c>
      <c r="U13" s="101">
        <f>S13*Assumptions!$G$139</f>
        <v>19106.486225864177</v>
      </c>
      <c r="V13" s="20">
        <f t="shared" si="9"/>
        <v>28.125</v>
      </c>
      <c r="W13" s="101">
        <f>U13*Assumptions!$G$139</f>
        <v>20635.005123933312</v>
      </c>
      <c r="X13" s="20">
        <f t="shared" si="10"/>
        <v>28.125000000000004</v>
      </c>
      <c r="Y13" s="101">
        <f>W13*Assumptions!$G$139</f>
        <v>22285.805533847979</v>
      </c>
      <c r="Z13" s="20">
        <f t="shared" si="11"/>
        <v>28.125000000000011</v>
      </c>
      <c r="AA13" s="21">
        <f t="shared" si="12"/>
        <v>181383.37470694756</v>
      </c>
      <c r="AB13" s="22"/>
    </row>
    <row r="14" spans="1:28" ht="12.75" customHeight="1" x14ac:dyDescent="0.2">
      <c r="A14" s="19" t="s">
        <v>119</v>
      </c>
      <c r="B14" s="100"/>
      <c r="C14" s="101">
        <f>Assumptions!D168*Assumptions!D153*Assumptions!D135*Assumptions!D150</f>
        <v>3186</v>
      </c>
      <c r="D14" s="20">
        <f t="shared" si="0"/>
        <v>9.375</v>
      </c>
      <c r="E14" s="101">
        <f>C14*Assumptions!$G$139</f>
        <v>3440.88</v>
      </c>
      <c r="F14" s="20">
        <f t="shared" si="1"/>
        <v>9.3750000000000018</v>
      </c>
      <c r="G14" s="101">
        <f>E14*Assumptions!$G$139</f>
        <v>3716.1504000000004</v>
      </c>
      <c r="H14" s="20">
        <f t="shared" si="2"/>
        <v>9.375</v>
      </c>
      <c r="I14" s="101">
        <f>G14*Assumptions!$G$139</f>
        <v>4013.4424320000007</v>
      </c>
      <c r="J14" s="20">
        <f t="shared" si="3"/>
        <v>9.375</v>
      </c>
      <c r="K14" s="101">
        <f>I14*Assumptions!$G$139</f>
        <v>4334.5178265600007</v>
      </c>
      <c r="L14" s="20">
        <f t="shared" si="4"/>
        <v>9.3749999999999982</v>
      </c>
      <c r="M14" s="101">
        <f>K14*Assumptions!$G$139</f>
        <v>4681.2792526848007</v>
      </c>
      <c r="N14" s="20">
        <f t="shared" si="5"/>
        <v>9.375</v>
      </c>
      <c r="O14" s="101">
        <f>M14*Assumptions!$G$139</f>
        <v>5055.7815928995851</v>
      </c>
      <c r="P14" s="20">
        <f t="shared" si="6"/>
        <v>9.3749999999999982</v>
      </c>
      <c r="Q14" s="101">
        <f>O14*Assumptions!$G$139</f>
        <v>5460.244120331552</v>
      </c>
      <c r="R14" s="20">
        <f t="shared" si="7"/>
        <v>9.3749999999999964</v>
      </c>
      <c r="S14" s="101">
        <f>Q14*Assumptions!$G$139</f>
        <v>5897.0636499580769</v>
      </c>
      <c r="T14" s="20">
        <f t="shared" si="8"/>
        <v>9.3749999999999964</v>
      </c>
      <c r="U14" s="101">
        <f>S14*Assumptions!$G$139</f>
        <v>6368.8287419547232</v>
      </c>
      <c r="V14" s="20">
        <f t="shared" si="9"/>
        <v>9.3749999999999964</v>
      </c>
      <c r="W14" s="101">
        <f>U14*Assumptions!$G$139</f>
        <v>6878.3350413111011</v>
      </c>
      <c r="X14" s="20">
        <f t="shared" si="10"/>
        <v>9.3749999999999982</v>
      </c>
      <c r="Y14" s="101">
        <f>W14*Assumptions!$G$139</f>
        <v>7428.6018446159896</v>
      </c>
      <c r="Z14" s="20">
        <f t="shared" si="11"/>
        <v>9.3749999999999982</v>
      </c>
      <c r="AA14" s="21">
        <f t="shared" si="12"/>
        <v>60461.124902315831</v>
      </c>
      <c r="AB14" s="22"/>
    </row>
    <row r="15" spans="1:28" ht="12.75" customHeight="1" x14ac:dyDescent="0.2">
      <c r="A15" s="19" t="s">
        <v>226</v>
      </c>
      <c r="B15" s="100"/>
      <c r="C15" s="101">
        <f>Assumptions!D135*Assumptions!D155*Assumptions!D169</f>
        <v>1416</v>
      </c>
      <c r="D15" s="20">
        <f t="shared" si="0"/>
        <v>4.166666666666667</v>
      </c>
      <c r="E15" s="101">
        <f>C15*Assumptions!$G$139</f>
        <v>1529.2800000000002</v>
      </c>
      <c r="F15" s="20">
        <f t="shared" si="1"/>
        <v>4.1666666666666679</v>
      </c>
      <c r="G15" s="101">
        <f>E15*Assumptions!$G$139</f>
        <v>1651.6224000000004</v>
      </c>
      <c r="H15" s="20">
        <f t="shared" si="2"/>
        <v>4.166666666666667</v>
      </c>
      <c r="I15" s="101">
        <f>G15*Assumptions!$G$139</f>
        <v>1783.7521920000006</v>
      </c>
      <c r="J15" s="20">
        <f t="shared" si="3"/>
        <v>4.166666666666667</v>
      </c>
      <c r="K15" s="101">
        <f>I15*Assumptions!$G$139</f>
        <v>1926.4523673600008</v>
      </c>
      <c r="L15" s="20">
        <f t="shared" si="4"/>
        <v>4.166666666666667</v>
      </c>
      <c r="M15" s="101">
        <f>K15*Assumptions!$G$139</f>
        <v>2080.5685567488013</v>
      </c>
      <c r="N15" s="20">
        <f t="shared" si="5"/>
        <v>4.1666666666666679</v>
      </c>
      <c r="O15" s="101">
        <f>M15*Assumptions!$G$139</f>
        <v>2247.0140412887054</v>
      </c>
      <c r="P15" s="20">
        <f t="shared" si="6"/>
        <v>4.1666666666666679</v>
      </c>
      <c r="Q15" s="101">
        <f>O15*Assumptions!$G$139</f>
        <v>2426.775164591802</v>
      </c>
      <c r="R15" s="20">
        <f t="shared" si="7"/>
        <v>4.166666666666667</v>
      </c>
      <c r="S15" s="101">
        <f>Q15*Assumptions!$G$139</f>
        <v>2620.9171777591464</v>
      </c>
      <c r="T15" s="20">
        <f t="shared" si="8"/>
        <v>4.166666666666667</v>
      </c>
      <c r="U15" s="101">
        <f>S15*Assumptions!$G$139</f>
        <v>2830.5905519798785</v>
      </c>
      <c r="V15" s="20">
        <f t="shared" si="9"/>
        <v>4.166666666666667</v>
      </c>
      <c r="W15" s="101">
        <f>U15*Assumptions!$G$139</f>
        <v>3057.0377961382687</v>
      </c>
      <c r="X15" s="20">
        <f t="shared" si="10"/>
        <v>4.1666666666666679</v>
      </c>
      <c r="Y15" s="101">
        <f>W15*Assumptions!$G$139</f>
        <v>3301.6008198293302</v>
      </c>
      <c r="Z15" s="20">
        <f t="shared" si="11"/>
        <v>4.1666666666666679</v>
      </c>
      <c r="AA15" s="21">
        <f t="shared" si="12"/>
        <v>26871.611067695932</v>
      </c>
      <c r="AB15" s="22"/>
    </row>
    <row r="16" spans="1:28" ht="12.75" customHeight="1" x14ac:dyDescent="0.2">
      <c r="A16" s="19" t="s">
        <v>227</v>
      </c>
      <c r="B16" s="100"/>
      <c r="C16" s="101">
        <f>Assumptions!D135*Assumptions!D158*Assumptions!D159</f>
        <v>708</v>
      </c>
      <c r="D16" s="20">
        <f t="shared" si="0"/>
        <v>2.0833333333333335</v>
      </c>
      <c r="E16" s="101">
        <f>C16*Assumptions!$G$139</f>
        <v>764.6400000000001</v>
      </c>
      <c r="F16" s="20">
        <f t="shared" si="1"/>
        <v>2.0833333333333339</v>
      </c>
      <c r="G16" s="101">
        <f>E16*Assumptions!$G$139</f>
        <v>825.81120000000021</v>
      </c>
      <c r="H16" s="20">
        <f t="shared" si="2"/>
        <v>2.0833333333333335</v>
      </c>
      <c r="I16" s="101">
        <f>G16*Assumptions!$G$139</f>
        <v>891.8760960000003</v>
      </c>
      <c r="J16" s="20">
        <f t="shared" si="3"/>
        <v>2.0833333333333335</v>
      </c>
      <c r="K16" s="101">
        <f>I16*Assumptions!$G$139</f>
        <v>963.22618368000042</v>
      </c>
      <c r="L16" s="20">
        <f t="shared" si="4"/>
        <v>2.0833333333333335</v>
      </c>
      <c r="M16" s="101">
        <f>K16*Assumptions!$G$139</f>
        <v>1040.2842783744006</v>
      </c>
      <c r="N16" s="20">
        <f t="shared" si="5"/>
        <v>2.0833333333333339</v>
      </c>
      <c r="O16" s="101">
        <f>M16*Assumptions!$G$139</f>
        <v>1123.5070206443527</v>
      </c>
      <c r="P16" s="20">
        <f t="shared" si="6"/>
        <v>2.0833333333333339</v>
      </c>
      <c r="Q16" s="101">
        <f>O16*Assumptions!$G$139</f>
        <v>1213.387582295901</v>
      </c>
      <c r="R16" s="20">
        <f t="shared" si="7"/>
        <v>2.0833333333333335</v>
      </c>
      <c r="S16" s="101">
        <f>Q16*Assumptions!$G$139</f>
        <v>1310.4585888795732</v>
      </c>
      <c r="T16" s="20">
        <f t="shared" si="8"/>
        <v>2.0833333333333335</v>
      </c>
      <c r="U16" s="101">
        <f>S16*Assumptions!$G$139</f>
        <v>1415.2952759899392</v>
      </c>
      <c r="V16" s="20">
        <f t="shared" si="9"/>
        <v>2.0833333333333335</v>
      </c>
      <c r="W16" s="101">
        <f>U16*Assumptions!$G$139</f>
        <v>1528.5188980691344</v>
      </c>
      <c r="X16" s="20">
        <f t="shared" si="10"/>
        <v>2.0833333333333339</v>
      </c>
      <c r="Y16" s="101">
        <f>W16*Assumptions!$G$139</f>
        <v>1650.8004099146651</v>
      </c>
      <c r="Z16" s="20">
        <f t="shared" si="11"/>
        <v>2.0833333333333339</v>
      </c>
      <c r="AA16" s="21">
        <f t="shared" si="12"/>
        <v>13435.805533847966</v>
      </c>
      <c r="AB16" s="22"/>
    </row>
    <row r="17" spans="1:28" ht="12.75" customHeight="1" x14ac:dyDescent="0.2">
      <c r="A17" s="23" t="s">
        <v>6</v>
      </c>
      <c r="B17" s="24"/>
      <c r="C17" s="25">
        <f t="shared" ref="C17:AA17" si="13">SUM(C10:C16)</f>
        <v>33984</v>
      </c>
      <c r="D17" s="26">
        <f t="shared" si="13"/>
        <v>100</v>
      </c>
      <c r="E17" s="25">
        <f t="shared" si="13"/>
        <v>36702.719999999994</v>
      </c>
      <c r="F17" s="26">
        <f t="shared" si="13"/>
        <v>100.00000000000003</v>
      </c>
      <c r="G17" s="25">
        <f t="shared" si="13"/>
        <v>39638.937600000005</v>
      </c>
      <c r="H17" s="26">
        <f t="shared" si="13"/>
        <v>100</v>
      </c>
      <c r="I17" s="25">
        <f t="shared" si="13"/>
        <v>42810.052608000013</v>
      </c>
      <c r="J17" s="26">
        <f t="shared" si="13"/>
        <v>99.999999999999986</v>
      </c>
      <c r="K17" s="25">
        <f t="shared" si="13"/>
        <v>46234.856816640015</v>
      </c>
      <c r="L17" s="26">
        <f t="shared" si="13"/>
        <v>100</v>
      </c>
      <c r="M17" s="25">
        <f t="shared" si="13"/>
        <v>49933.645361971212</v>
      </c>
      <c r="N17" s="26">
        <f t="shared" si="13"/>
        <v>100</v>
      </c>
      <c r="O17" s="25">
        <f t="shared" si="13"/>
        <v>53928.336990928918</v>
      </c>
      <c r="P17" s="26">
        <f t="shared" si="13"/>
        <v>100</v>
      </c>
      <c r="Q17" s="25">
        <f t="shared" si="13"/>
        <v>58242.603950203244</v>
      </c>
      <c r="R17" s="26">
        <f t="shared" si="13"/>
        <v>99.999999999999986</v>
      </c>
      <c r="S17" s="25">
        <f t="shared" si="13"/>
        <v>62902.012266219506</v>
      </c>
      <c r="T17" s="26">
        <f t="shared" si="13"/>
        <v>100</v>
      </c>
      <c r="U17" s="25">
        <f t="shared" si="13"/>
        <v>67934.173247517072</v>
      </c>
      <c r="V17" s="26">
        <f t="shared" si="13"/>
        <v>100</v>
      </c>
      <c r="W17" s="25">
        <f t="shared" si="13"/>
        <v>73368.907107318431</v>
      </c>
      <c r="X17" s="26">
        <f t="shared" si="13"/>
        <v>100</v>
      </c>
      <c r="Y17" s="25">
        <f t="shared" si="13"/>
        <v>79238.419675903904</v>
      </c>
      <c r="Z17" s="26">
        <f t="shared" si="13"/>
        <v>100.00000000000003</v>
      </c>
      <c r="AA17" s="25">
        <f t="shared" si="13"/>
        <v>644918.66562470235</v>
      </c>
      <c r="AB17" s="27"/>
    </row>
    <row r="18" spans="1:28" ht="12.75" customHeight="1" x14ac:dyDescent="0.2">
      <c r="A18" s="107" t="s">
        <v>242</v>
      </c>
      <c r="B18" s="139"/>
      <c r="C18" s="108">
        <f>(C$13*0.83)+(C$14*0.83)</f>
        <v>10577.519999999999</v>
      </c>
      <c r="D18" s="109"/>
      <c r="E18" s="108">
        <f>(E$13*0.83)+(E$14*0.83)+(C18*0.83)</f>
        <v>20203.063199999997</v>
      </c>
      <c r="F18" s="109"/>
      <c r="G18" s="108">
        <f>(G$13*0.83)+(G$14*0.83)+(E18*0.83)</f>
        <v>29106.161783999996</v>
      </c>
      <c r="H18" s="109"/>
      <c r="I18" s="108">
        <f>(I$13*0.83)+(I$14*0.83)+(G18*0.83)</f>
        <v>37482.743154959993</v>
      </c>
      <c r="J18" s="109"/>
      <c r="K18" s="108">
        <f>(K$13*0.83)+(K$14*0.83)+(I18*0.83)</f>
        <v>45501.276002795996</v>
      </c>
      <c r="L18" s="109"/>
      <c r="M18" s="108">
        <f>(M$13*0.83)+(M$14*0.83)+(K18*0.83)</f>
        <v>53307.906201234211</v>
      </c>
      <c r="N18" s="109"/>
      <c r="O18" s="108">
        <f>(O$13*0.83)+(O$14*0.83)+(M18*0.83)</f>
        <v>61030.757035451017</v>
      </c>
      <c r="P18" s="109"/>
      <c r="Q18" s="108">
        <f>(Q$13*0.83)+(Q$14*0.83)+(O18*0.83)</f>
        <v>68783.538818925095</v>
      </c>
      <c r="R18" s="109"/>
      <c r="S18" s="108">
        <f>(S$13*0.83)+(S$14*0.83)+(Q18*0.83)</f>
        <v>76668.588537568648</v>
      </c>
      <c r="T18" s="109"/>
      <c r="U18" s="108">
        <f>(U$13*0.83)+(U$14*0.83)+(S18*0.83)</f>
        <v>84779.439909471665</v>
      </c>
      <c r="V18" s="109"/>
      <c r="W18" s="108">
        <f>(W$13*0.83)+(W$14*0.83)+(U18*0.83)</f>
        <v>93203.007462014342</v>
      </c>
      <c r="X18" s="109"/>
      <c r="Y18" s="108">
        <f>(Y$13*0.83)+(Y$14*0.83)+(W18*0.83)</f>
        <v>102021.454317597</v>
      </c>
      <c r="Z18" s="109"/>
      <c r="AA18" s="108"/>
      <c r="AB18" s="110"/>
    </row>
    <row r="19" spans="1:28" ht="12.75" customHeight="1" x14ac:dyDescent="0.2">
      <c r="A19" s="107"/>
      <c r="B19" s="112" t="s">
        <v>256</v>
      </c>
      <c r="C19" s="108"/>
      <c r="D19" s="109"/>
      <c r="E19" s="108"/>
      <c r="F19" s="109"/>
      <c r="G19" s="108"/>
      <c r="H19" s="109"/>
      <c r="I19" s="108"/>
      <c r="J19" s="109"/>
      <c r="K19" s="108"/>
      <c r="L19" s="109"/>
      <c r="M19" s="108"/>
      <c r="N19" s="109"/>
      <c r="O19" s="108"/>
      <c r="P19" s="109"/>
      <c r="Q19" s="108"/>
      <c r="R19" s="109"/>
      <c r="S19" s="108"/>
      <c r="T19" s="109"/>
      <c r="U19" s="108"/>
      <c r="V19" s="109"/>
      <c r="W19" s="108"/>
      <c r="X19" s="109"/>
      <c r="Y19" s="108"/>
      <c r="Z19" s="109"/>
      <c r="AA19" s="108"/>
      <c r="AB19" s="110"/>
    </row>
    <row r="20" spans="1:28" ht="12.75" customHeight="1" x14ac:dyDescent="0.2">
      <c r="A20" s="16" t="s">
        <v>7</v>
      </c>
      <c r="B20" s="30"/>
      <c r="C20" s="17"/>
      <c r="D20" s="29"/>
      <c r="E20" s="17"/>
      <c r="F20" s="29"/>
      <c r="G20" s="17"/>
      <c r="H20" s="29"/>
      <c r="I20" s="17"/>
      <c r="J20" s="29"/>
      <c r="K20" s="17"/>
      <c r="L20" s="29"/>
      <c r="M20" s="17"/>
      <c r="N20" s="29"/>
      <c r="O20" s="17"/>
      <c r="P20" s="29"/>
      <c r="Q20" s="17"/>
      <c r="R20" s="29"/>
      <c r="S20" s="17"/>
      <c r="T20" s="29"/>
      <c r="U20" s="17"/>
      <c r="V20" s="29"/>
      <c r="W20" s="17"/>
      <c r="X20" s="29"/>
      <c r="Y20" s="17"/>
      <c r="Z20" s="29"/>
      <c r="AA20" s="17"/>
      <c r="AB20" s="6"/>
    </row>
    <row r="21" spans="1:28" ht="12.75" customHeight="1" x14ac:dyDescent="0.2">
      <c r="A21" s="19" t="s">
        <v>213</v>
      </c>
      <c r="B21" s="100"/>
      <c r="C21" s="101">
        <f>C10*Assumptions!D126</f>
        <v>5310</v>
      </c>
      <c r="D21" s="20">
        <f t="shared" ref="D21:D27" si="14">IF(C$28=0,"-",(C21*100)/C$28)</f>
        <v>55.555555555555564</v>
      </c>
      <c r="E21" s="101">
        <f>C21*Assumptions!$G$139</f>
        <v>5734.8</v>
      </c>
      <c r="F21" s="20">
        <f t="shared" ref="F21:F27" si="15">IF(E$28=0,"-",(E21*100)/E$28)</f>
        <v>55.555555555555557</v>
      </c>
      <c r="G21" s="101">
        <f>E21*Assumptions!$G$139</f>
        <v>6193.5840000000007</v>
      </c>
      <c r="H21" s="20">
        <f t="shared" ref="H21:H27" si="16">IF(G$28=0,"-",(G21*100)/G$28)</f>
        <v>55.55555555555555</v>
      </c>
      <c r="I21" s="101">
        <f>G21*Assumptions!$G$139</f>
        <v>6689.0707200000015</v>
      </c>
      <c r="J21" s="20">
        <f t="shared" ref="J21:J27" si="17">IF(I$28=0,"-",(I21*100)/I$28)</f>
        <v>55.555555555555557</v>
      </c>
      <c r="K21" s="101">
        <f>I21*Assumptions!$G$139</f>
        <v>7224.1963776000021</v>
      </c>
      <c r="L21" s="20">
        <f t="shared" ref="L21:L27" si="18">IF(K$28=0,"-",(K21*100)/K$28)</f>
        <v>55.555555555555564</v>
      </c>
      <c r="M21" s="101">
        <f>K21*Assumptions!$G$139</f>
        <v>7802.1320878080023</v>
      </c>
      <c r="N21" s="20">
        <f t="shared" ref="N21:N27" si="19">IF(M$28=0,"-",(M21*100)/M$28)</f>
        <v>55.555555555555557</v>
      </c>
      <c r="O21" s="101">
        <f>M21*Assumptions!$G$139</f>
        <v>8426.3026548326434</v>
      </c>
      <c r="P21" s="20">
        <f t="shared" ref="P21:P27" si="20">IF(O$28=0,"-",(O21*100)/O$28)</f>
        <v>55.55555555555555</v>
      </c>
      <c r="Q21" s="101">
        <f>O21*Assumptions!$G$139</f>
        <v>9100.4068672192552</v>
      </c>
      <c r="R21" s="20">
        <f t="shared" ref="R21:R27" si="21">IF(Q$28=0,"-",(Q21*100)/Q$28)</f>
        <v>55.55555555555555</v>
      </c>
      <c r="S21" s="101">
        <f>Q21*Assumptions!$G$139</f>
        <v>9828.4394165967969</v>
      </c>
      <c r="T21" s="20">
        <f t="shared" ref="T21:T27" si="22">IF(S$28=0,"-",(S21*100)/S$28)</f>
        <v>55.555555555555571</v>
      </c>
      <c r="U21" s="101">
        <f>S21*Assumptions!$G$139</f>
        <v>10614.714569924541</v>
      </c>
      <c r="V21" s="20">
        <f t="shared" ref="V21:V27" si="23">IF(U$28=0,"-",(U21*100)/U$28)</f>
        <v>55.55555555555555</v>
      </c>
      <c r="W21" s="101">
        <f>U21*Assumptions!$G$139</f>
        <v>11463.891735518506</v>
      </c>
      <c r="X21" s="20">
        <f t="shared" ref="X21:X27" si="24">IF(W$28=0,"-",(W21*100)/W$28)</f>
        <v>55.555555555555557</v>
      </c>
      <c r="Y21" s="101">
        <f>W21*Assumptions!$G$139</f>
        <v>12381.003074359987</v>
      </c>
      <c r="Z21" s="20">
        <f t="shared" ref="Z21:Z27" si="25">IF(Y$28=0,"-",(Y21*100)/Y$28)</f>
        <v>55.55555555555555</v>
      </c>
      <c r="AA21" s="21">
        <f t="shared" ref="AA21:AA27" si="26">SUM(Y21,W21,U21,S21,Q21,O21,M21,K21,I21,G21,E21,C21)</f>
        <v>100768.54150385974</v>
      </c>
      <c r="AB21" s="22"/>
    </row>
    <row r="22" spans="1:28" ht="12.75" customHeight="1" x14ac:dyDescent="0.2">
      <c r="A22" s="19" t="s">
        <v>214</v>
      </c>
      <c r="B22" s="100"/>
      <c r="C22" s="101">
        <f>Assumptions!D126*C11</f>
        <v>3540</v>
      </c>
      <c r="D22" s="20">
        <f t="shared" si="14"/>
        <v>37.037037037037045</v>
      </c>
      <c r="E22" s="101">
        <f>C22*Assumptions!$G$139</f>
        <v>3823.2000000000003</v>
      </c>
      <c r="F22" s="20">
        <f t="shared" si="15"/>
        <v>37.037037037037038</v>
      </c>
      <c r="G22" s="101">
        <f>E22*Assumptions!$G$139</f>
        <v>4129.0560000000005</v>
      </c>
      <c r="H22" s="20">
        <f t="shared" si="16"/>
        <v>37.037037037037038</v>
      </c>
      <c r="I22" s="101">
        <f>G22*Assumptions!$G$139</f>
        <v>4459.3804800000007</v>
      </c>
      <c r="J22" s="20">
        <f t="shared" si="17"/>
        <v>37.037037037037031</v>
      </c>
      <c r="K22" s="101">
        <f>I22*Assumptions!$G$139</f>
        <v>4816.1309184000011</v>
      </c>
      <c r="L22" s="20">
        <f t="shared" si="18"/>
        <v>37.037037037037038</v>
      </c>
      <c r="M22" s="101">
        <f>K22*Assumptions!$G$139</f>
        <v>5201.4213918720015</v>
      </c>
      <c r="N22" s="20">
        <f t="shared" si="19"/>
        <v>37.037037037037038</v>
      </c>
      <c r="O22" s="101">
        <f>M22*Assumptions!$G$139</f>
        <v>5617.5351032217623</v>
      </c>
      <c r="P22" s="20">
        <f t="shared" si="20"/>
        <v>37.037037037037038</v>
      </c>
      <c r="Q22" s="101">
        <f>O22*Assumptions!$G$139</f>
        <v>6066.9379114795038</v>
      </c>
      <c r="R22" s="20">
        <f t="shared" si="21"/>
        <v>37.037037037037031</v>
      </c>
      <c r="S22" s="101">
        <f>Q22*Assumptions!$G$139</f>
        <v>6552.2929443978646</v>
      </c>
      <c r="T22" s="20">
        <f t="shared" si="22"/>
        <v>37.037037037037052</v>
      </c>
      <c r="U22" s="101">
        <f>S22*Assumptions!$G$139</f>
        <v>7076.4763799496941</v>
      </c>
      <c r="V22" s="20">
        <f t="shared" si="23"/>
        <v>37.037037037037031</v>
      </c>
      <c r="W22" s="101">
        <f>U22*Assumptions!$G$139</f>
        <v>7642.5944903456702</v>
      </c>
      <c r="X22" s="20">
        <f t="shared" si="24"/>
        <v>37.037037037037038</v>
      </c>
      <c r="Y22" s="101">
        <f>W22*Assumptions!$G$139</f>
        <v>8254.0020495733243</v>
      </c>
      <c r="Z22" s="20">
        <f t="shared" si="25"/>
        <v>37.037037037037031</v>
      </c>
      <c r="AA22" s="21">
        <f t="shared" si="26"/>
        <v>67179.027669239818</v>
      </c>
      <c r="AB22" s="22"/>
    </row>
    <row r="23" spans="1:28" ht="12.75" customHeight="1" x14ac:dyDescent="0.2">
      <c r="A23" s="19" t="s">
        <v>218</v>
      </c>
      <c r="B23" s="100"/>
      <c r="C23" s="101">
        <f>Assumptions!D127*C12</f>
        <v>28.32</v>
      </c>
      <c r="D23" s="20">
        <f t="shared" si="14"/>
        <v>0.29629629629629634</v>
      </c>
      <c r="E23" s="101">
        <f>C23*Assumptions!$G$139</f>
        <v>30.585600000000003</v>
      </c>
      <c r="F23" s="20">
        <f t="shared" si="15"/>
        <v>0.29629629629629634</v>
      </c>
      <c r="G23" s="101">
        <f>E23*Assumptions!$G$139</f>
        <v>33.032448000000002</v>
      </c>
      <c r="H23" s="20">
        <f t="shared" si="16"/>
        <v>0.29629629629629628</v>
      </c>
      <c r="I23" s="101">
        <f>G23*Assumptions!$G$139</f>
        <v>35.675043840000008</v>
      </c>
      <c r="J23" s="20">
        <f t="shared" si="17"/>
        <v>0.29629629629629628</v>
      </c>
      <c r="K23" s="101">
        <f>I23*Assumptions!$G$139</f>
        <v>38.529047347200013</v>
      </c>
      <c r="L23" s="20">
        <f t="shared" si="18"/>
        <v>0.29629629629629634</v>
      </c>
      <c r="M23" s="101">
        <f>K23*Assumptions!$G$139</f>
        <v>41.611371134976018</v>
      </c>
      <c r="N23" s="20">
        <f t="shared" si="19"/>
        <v>0.29629629629629634</v>
      </c>
      <c r="O23" s="101">
        <f>M23*Assumptions!$G$139</f>
        <v>44.940280825774103</v>
      </c>
      <c r="P23" s="20">
        <f t="shared" si="20"/>
        <v>0.29629629629629634</v>
      </c>
      <c r="Q23" s="101">
        <f>O23*Assumptions!$G$139</f>
        <v>48.535503291836037</v>
      </c>
      <c r="R23" s="20">
        <f t="shared" si="21"/>
        <v>0.29629629629629634</v>
      </c>
      <c r="S23" s="101">
        <f>Q23*Assumptions!$G$139</f>
        <v>52.418343555182922</v>
      </c>
      <c r="T23" s="20">
        <f t="shared" si="22"/>
        <v>0.29629629629629639</v>
      </c>
      <c r="U23" s="101">
        <f>S23*Assumptions!$G$139</f>
        <v>56.611811039597562</v>
      </c>
      <c r="V23" s="20">
        <f t="shared" si="23"/>
        <v>0.29629629629629628</v>
      </c>
      <c r="W23" s="101">
        <f>U23*Assumptions!$G$139</f>
        <v>61.140755922765372</v>
      </c>
      <c r="X23" s="20">
        <f t="shared" si="24"/>
        <v>0.29629629629629639</v>
      </c>
      <c r="Y23" s="101">
        <f>W23*Assumptions!$G$139</f>
        <v>66.032016396586613</v>
      </c>
      <c r="Z23" s="20">
        <f t="shared" si="25"/>
        <v>0.29629629629629634</v>
      </c>
      <c r="AA23" s="21">
        <f t="shared" si="26"/>
        <v>537.43222135391864</v>
      </c>
      <c r="AB23" s="22"/>
    </row>
    <row r="24" spans="1:28" ht="12.75" customHeight="1" x14ac:dyDescent="0.2">
      <c r="A24" s="19" t="s">
        <v>212</v>
      </c>
      <c r="B24" s="100"/>
      <c r="C24" s="101">
        <f>Assumptions!D128*C13</f>
        <v>191.16</v>
      </c>
      <c r="D24" s="20">
        <f t="shared" si="14"/>
        <v>2.0000000000000004</v>
      </c>
      <c r="E24" s="101">
        <f>C24*Assumptions!$G$139</f>
        <v>206.4528</v>
      </c>
      <c r="F24" s="20">
        <f t="shared" si="15"/>
        <v>2</v>
      </c>
      <c r="G24" s="101">
        <f>E24*Assumptions!$G$139</f>
        <v>222.96902400000002</v>
      </c>
      <c r="H24" s="20">
        <f t="shared" si="16"/>
        <v>2</v>
      </c>
      <c r="I24" s="101">
        <f>G24*Assumptions!$G$139</f>
        <v>240.80654592000005</v>
      </c>
      <c r="J24" s="20">
        <f t="shared" si="17"/>
        <v>2</v>
      </c>
      <c r="K24" s="101">
        <f>I24*Assumptions!$G$139</f>
        <v>260.07106959360004</v>
      </c>
      <c r="L24" s="20">
        <f t="shared" si="18"/>
        <v>2</v>
      </c>
      <c r="M24" s="101">
        <f>K24*Assumptions!$G$139</f>
        <v>280.87675516108806</v>
      </c>
      <c r="N24" s="20">
        <f t="shared" si="19"/>
        <v>1.9999999999999998</v>
      </c>
      <c r="O24" s="101">
        <f>M24*Assumptions!$G$139</f>
        <v>303.34689557397513</v>
      </c>
      <c r="P24" s="20">
        <f t="shared" si="20"/>
        <v>1.9999999999999996</v>
      </c>
      <c r="Q24" s="101">
        <f>O24*Assumptions!$G$139</f>
        <v>327.61464721989319</v>
      </c>
      <c r="R24" s="20">
        <f t="shared" si="21"/>
        <v>1.9999999999999998</v>
      </c>
      <c r="S24" s="101">
        <f>Q24*Assumptions!$G$139</f>
        <v>353.82381899748464</v>
      </c>
      <c r="T24" s="20">
        <f t="shared" si="22"/>
        <v>2.0000000000000004</v>
      </c>
      <c r="U24" s="101">
        <f>S24*Assumptions!$G$139</f>
        <v>382.12972451728342</v>
      </c>
      <c r="V24" s="20">
        <f t="shared" si="23"/>
        <v>1.9999999999999993</v>
      </c>
      <c r="W24" s="101">
        <f>U24*Assumptions!$G$139</f>
        <v>412.70010247866611</v>
      </c>
      <c r="X24" s="20">
        <f t="shared" si="24"/>
        <v>1.9999999999999996</v>
      </c>
      <c r="Y24" s="101">
        <f>W24*Assumptions!$G$139</f>
        <v>445.71611067695943</v>
      </c>
      <c r="Z24" s="20">
        <f t="shared" si="25"/>
        <v>1.9999999999999993</v>
      </c>
      <c r="AA24" s="21">
        <f t="shared" si="26"/>
        <v>3627.6674941389501</v>
      </c>
      <c r="AB24" s="22"/>
    </row>
    <row r="25" spans="1:28" ht="12.75" customHeight="1" x14ac:dyDescent="0.2">
      <c r="A25" s="19" t="s">
        <v>119</v>
      </c>
      <c r="B25" s="100"/>
      <c r="C25" s="101">
        <f>Assumptions!D128*C14</f>
        <v>63.72</v>
      </c>
      <c r="D25" s="20">
        <f t="shared" si="14"/>
        <v>0.66666666666666674</v>
      </c>
      <c r="E25" s="101">
        <f>C25*Assumptions!$G$139</f>
        <v>68.817599999999999</v>
      </c>
      <c r="F25" s="20">
        <f t="shared" si="15"/>
        <v>0.66666666666666674</v>
      </c>
      <c r="G25" s="101">
        <f>E25*Assumptions!$G$139</f>
        <v>74.323008000000002</v>
      </c>
      <c r="H25" s="20">
        <f t="shared" si="16"/>
        <v>0.66666666666666663</v>
      </c>
      <c r="I25" s="101">
        <f>G25*Assumptions!$G$139</f>
        <v>80.268848640000002</v>
      </c>
      <c r="J25" s="20">
        <f t="shared" si="17"/>
        <v>0.66666666666666652</v>
      </c>
      <c r="K25" s="101">
        <f>I25*Assumptions!$G$139</f>
        <v>86.69035653120001</v>
      </c>
      <c r="L25" s="20">
        <f t="shared" si="18"/>
        <v>0.66666666666666663</v>
      </c>
      <c r="M25" s="101">
        <f>K25*Assumptions!$G$139</f>
        <v>93.625585053696014</v>
      </c>
      <c r="N25" s="20">
        <f t="shared" si="19"/>
        <v>0.66666666666666663</v>
      </c>
      <c r="O25" s="101">
        <f>M25*Assumptions!$G$139</f>
        <v>101.1156318579917</v>
      </c>
      <c r="P25" s="20">
        <f t="shared" si="20"/>
        <v>0.66666666666666652</v>
      </c>
      <c r="Q25" s="101">
        <f>O25*Assumptions!$G$139</f>
        <v>109.20488240663104</v>
      </c>
      <c r="R25" s="20">
        <f t="shared" si="21"/>
        <v>0.66666666666666641</v>
      </c>
      <c r="S25" s="101">
        <f>Q25*Assumptions!$G$139</f>
        <v>117.94127299916154</v>
      </c>
      <c r="T25" s="20">
        <f t="shared" si="22"/>
        <v>0.66666666666666674</v>
      </c>
      <c r="U25" s="101">
        <f>S25*Assumptions!$G$139</f>
        <v>127.37657483909447</v>
      </c>
      <c r="V25" s="20">
        <f t="shared" si="23"/>
        <v>0.66666666666666641</v>
      </c>
      <c r="W25" s="101">
        <f>U25*Assumptions!$G$139</f>
        <v>137.56670082622205</v>
      </c>
      <c r="X25" s="20">
        <f t="shared" si="24"/>
        <v>0.66666666666666663</v>
      </c>
      <c r="Y25" s="101">
        <f>W25*Assumptions!$G$139</f>
        <v>148.57203689231983</v>
      </c>
      <c r="Z25" s="20">
        <f t="shared" si="25"/>
        <v>0.66666666666666652</v>
      </c>
      <c r="AA25" s="21">
        <f t="shared" si="26"/>
        <v>1209.2224980463168</v>
      </c>
      <c r="AB25" s="22"/>
    </row>
    <row r="26" spans="1:28" ht="12.75" customHeight="1" x14ac:dyDescent="0.2">
      <c r="A26" s="19" t="s">
        <v>226</v>
      </c>
      <c r="B26" s="100"/>
      <c r="C26" s="101">
        <f>Assumptions!D129*C15</f>
        <v>70.8</v>
      </c>
      <c r="D26" s="20">
        <f t="shared" si="14"/>
        <v>0.74074074074074092</v>
      </c>
      <c r="E26" s="101">
        <f>C26*Assumptions!$G$139</f>
        <v>76.463999999999999</v>
      </c>
      <c r="F26" s="20">
        <f t="shared" si="15"/>
        <v>0.7407407407407407</v>
      </c>
      <c r="G26" s="101">
        <f>E26*Assumptions!$G$139</f>
        <v>82.581119999999999</v>
      </c>
      <c r="H26" s="20">
        <f t="shared" si="16"/>
        <v>0.74074074074074059</v>
      </c>
      <c r="I26" s="101">
        <f>G26*Assumptions!$G$139</f>
        <v>89.187609600000002</v>
      </c>
      <c r="J26" s="20">
        <f t="shared" si="17"/>
        <v>0.74074074074074048</v>
      </c>
      <c r="K26" s="101">
        <f>I26*Assumptions!$G$139</f>
        <v>96.322618368000008</v>
      </c>
      <c r="L26" s="20">
        <f t="shared" si="18"/>
        <v>0.7407407407407407</v>
      </c>
      <c r="M26" s="101">
        <f>K26*Assumptions!$G$139</f>
        <v>104.02842783744002</v>
      </c>
      <c r="N26" s="20">
        <f t="shared" si="19"/>
        <v>0.74074074074074059</v>
      </c>
      <c r="O26" s="101">
        <f>M26*Assumptions!$G$139</f>
        <v>112.35070206443523</v>
      </c>
      <c r="P26" s="20">
        <f t="shared" si="20"/>
        <v>0.74074074074074048</v>
      </c>
      <c r="Q26" s="101">
        <f>O26*Assumptions!$G$139</f>
        <v>121.33875822959006</v>
      </c>
      <c r="R26" s="20">
        <f t="shared" si="21"/>
        <v>0.74074074074074059</v>
      </c>
      <c r="S26" s="101">
        <f>Q26*Assumptions!$G$139</f>
        <v>131.04585888795728</v>
      </c>
      <c r="T26" s="20">
        <f t="shared" si="22"/>
        <v>0.74074074074074092</v>
      </c>
      <c r="U26" s="101">
        <f>S26*Assumptions!$G$139</f>
        <v>141.52952759899387</v>
      </c>
      <c r="V26" s="20">
        <f t="shared" si="23"/>
        <v>0.74074074074074048</v>
      </c>
      <c r="W26" s="101">
        <f>U26*Assumptions!$G$139</f>
        <v>152.85188980691339</v>
      </c>
      <c r="X26" s="20">
        <f t="shared" si="24"/>
        <v>0.7407407407407407</v>
      </c>
      <c r="Y26" s="101">
        <f>W26*Assumptions!$G$139</f>
        <v>165.08004099146646</v>
      </c>
      <c r="Z26" s="20">
        <f t="shared" si="25"/>
        <v>0.74074074074074048</v>
      </c>
      <c r="AA26" s="21">
        <f t="shared" si="26"/>
        <v>1343.5805533847965</v>
      </c>
      <c r="AB26" s="22"/>
    </row>
    <row r="27" spans="1:28" ht="12.75" customHeight="1" x14ac:dyDescent="0.2">
      <c r="A27" s="19" t="s">
        <v>227</v>
      </c>
      <c r="B27" s="100"/>
      <c r="C27" s="101">
        <f>Assumptions!D130*C16</f>
        <v>354</v>
      </c>
      <c r="D27" s="20">
        <f t="shared" si="14"/>
        <v>3.7037037037037046</v>
      </c>
      <c r="E27" s="101">
        <f>C27*Assumptions!$G$139</f>
        <v>382.32000000000005</v>
      </c>
      <c r="F27" s="20">
        <f t="shared" si="15"/>
        <v>3.7037037037037046</v>
      </c>
      <c r="G27" s="101">
        <f>E27*Assumptions!$G$139</f>
        <v>412.90560000000011</v>
      </c>
      <c r="H27" s="20">
        <f t="shared" si="16"/>
        <v>3.7037037037037042</v>
      </c>
      <c r="I27" s="101">
        <f>G27*Assumptions!$G$139</f>
        <v>445.93804800000015</v>
      </c>
      <c r="J27" s="20">
        <f t="shared" si="17"/>
        <v>3.7037037037037037</v>
      </c>
      <c r="K27" s="101">
        <f>I27*Assumptions!$G$139</f>
        <v>481.61309184000021</v>
      </c>
      <c r="L27" s="20">
        <f t="shared" si="18"/>
        <v>3.7037037037037046</v>
      </c>
      <c r="M27" s="101">
        <f>K27*Assumptions!$G$139</f>
        <v>520.14213918720031</v>
      </c>
      <c r="N27" s="20">
        <f t="shared" si="19"/>
        <v>3.7037037037037051</v>
      </c>
      <c r="O27" s="101">
        <f>M27*Assumptions!$G$139</f>
        <v>561.75351032217634</v>
      </c>
      <c r="P27" s="20">
        <f t="shared" si="20"/>
        <v>3.7037037037037042</v>
      </c>
      <c r="Q27" s="101">
        <f>O27*Assumptions!$G$139</f>
        <v>606.69379114795049</v>
      </c>
      <c r="R27" s="20">
        <f t="shared" si="21"/>
        <v>3.7037037037037042</v>
      </c>
      <c r="S27" s="101">
        <f>Q27*Assumptions!$G$139</f>
        <v>655.2292944397866</v>
      </c>
      <c r="T27" s="20">
        <f t="shared" si="22"/>
        <v>3.7037037037037059</v>
      </c>
      <c r="U27" s="101">
        <f>S27*Assumptions!$G$139</f>
        <v>707.64763799496961</v>
      </c>
      <c r="V27" s="20">
        <f t="shared" si="23"/>
        <v>3.7037037037037037</v>
      </c>
      <c r="W27" s="101">
        <f>U27*Assumptions!$G$139</f>
        <v>764.25944903456718</v>
      </c>
      <c r="X27" s="20">
        <f t="shared" si="24"/>
        <v>3.7037037037037051</v>
      </c>
      <c r="Y27" s="101">
        <f>W27*Assumptions!$G$139</f>
        <v>825.40020495733256</v>
      </c>
      <c r="Z27" s="20">
        <f t="shared" si="25"/>
        <v>3.7037037037037042</v>
      </c>
      <c r="AA27" s="21">
        <f t="shared" si="26"/>
        <v>6717.9027669239831</v>
      </c>
      <c r="AB27" s="22"/>
    </row>
    <row r="28" spans="1:28" ht="12.75" customHeight="1" x14ac:dyDescent="0.2">
      <c r="A28" s="23" t="s">
        <v>8</v>
      </c>
      <c r="B28" s="31"/>
      <c r="C28" s="25">
        <f t="shared" ref="C28:AA28" si="27">SUM(C21:C27)</f>
        <v>9557.9999999999982</v>
      </c>
      <c r="D28" s="26">
        <f t="shared" si="27"/>
        <v>100.00000000000003</v>
      </c>
      <c r="E28" s="25">
        <f t="shared" si="27"/>
        <v>10322.64</v>
      </c>
      <c r="F28" s="26">
        <f t="shared" si="27"/>
        <v>100.00000000000001</v>
      </c>
      <c r="G28" s="25">
        <f t="shared" si="27"/>
        <v>11148.451200000001</v>
      </c>
      <c r="H28" s="26">
        <f t="shared" si="27"/>
        <v>100</v>
      </c>
      <c r="I28" s="25">
        <f t="shared" si="27"/>
        <v>12040.327296000003</v>
      </c>
      <c r="J28" s="26">
        <f t="shared" si="27"/>
        <v>99.999999999999986</v>
      </c>
      <c r="K28" s="25">
        <f t="shared" si="27"/>
        <v>13003.553479680002</v>
      </c>
      <c r="L28" s="26">
        <f t="shared" si="27"/>
        <v>100.00000000000003</v>
      </c>
      <c r="M28" s="25">
        <f t="shared" si="27"/>
        <v>14043.837758054404</v>
      </c>
      <c r="N28" s="26">
        <f t="shared" si="27"/>
        <v>100.00000000000001</v>
      </c>
      <c r="O28" s="25">
        <f t="shared" si="27"/>
        <v>15167.34477869876</v>
      </c>
      <c r="P28" s="26">
        <f t="shared" si="27"/>
        <v>99.999999999999986</v>
      </c>
      <c r="Q28" s="25">
        <f t="shared" si="27"/>
        <v>16380.732360994662</v>
      </c>
      <c r="R28" s="26">
        <f t="shared" si="27"/>
        <v>100</v>
      </c>
      <c r="S28" s="25">
        <f t="shared" si="27"/>
        <v>17691.190949874228</v>
      </c>
      <c r="T28" s="26">
        <f t="shared" si="27"/>
        <v>100.00000000000004</v>
      </c>
      <c r="U28" s="25">
        <f t="shared" si="27"/>
        <v>19106.486225864177</v>
      </c>
      <c r="V28" s="26">
        <f t="shared" si="27"/>
        <v>99.999999999999986</v>
      </c>
      <c r="W28" s="25">
        <f t="shared" si="27"/>
        <v>20635.005123933308</v>
      </c>
      <c r="X28" s="26">
        <f t="shared" si="27"/>
        <v>100.00000000000001</v>
      </c>
      <c r="Y28" s="25">
        <f t="shared" si="27"/>
        <v>22285.805533847979</v>
      </c>
      <c r="Z28" s="26">
        <f t="shared" si="27"/>
        <v>99.999999999999986</v>
      </c>
      <c r="AA28" s="25">
        <f t="shared" si="27"/>
        <v>181383.37470694754</v>
      </c>
      <c r="AB28" s="22"/>
    </row>
    <row r="29" spans="1:28" ht="12.75" customHeight="1" x14ac:dyDescent="0.2">
      <c r="A29" s="28"/>
      <c r="B29" s="17"/>
      <c r="C29" s="17"/>
      <c r="D29" s="29"/>
      <c r="E29" s="17"/>
      <c r="F29" s="29"/>
      <c r="G29" s="17"/>
      <c r="H29" s="29"/>
      <c r="I29" s="17"/>
      <c r="J29" s="29"/>
      <c r="K29" s="17"/>
      <c r="L29" s="29"/>
      <c r="M29" s="17"/>
      <c r="N29" s="29"/>
      <c r="O29" s="17"/>
      <c r="P29" s="29"/>
      <c r="Q29" s="17"/>
      <c r="R29" s="29"/>
      <c r="S29" s="17"/>
      <c r="T29" s="29"/>
      <c r="U29" s="17"/>
      <c r="V29" s="29"/>
      <c r="W29" s="17"/>
      <c r="X29" s="29"/>
      <c r="Y29" s="17"/>
      <c r="Z29" s="29"/>
      <c r="AA29" s="17"/>
      <c r="AB29" s="6"/>
    </row>
    <row r="30" spans="1:28" ht="12.75" customHeight="1" x14ac:dyDescent="0.2">
      <c r="A30" s="23" t="s">
        <v>9</v>
      </c>
      <c r="B30" s="100"/>
      <c r="C30" s="25">
        <f>C17-C28</f>
        <v>24426</v>
      </c>
      <c r="D30" s="26">
        <f>IF(C17=0,"-",(C30*100)/C17)</f>
        <v>71.875</v>
      </c>
      <c r="E30" s="25">
        <f>E17-E28</f>
        <v>26380.079999999994</v>
      </c>
      <c r="F30" s="26">
        <f>IF(E17=0,"-",(E30*100)/E17)</f>
        <v>71.875</v>
      </c>
      <c r="G30" s="25">
        <f>G17-G28</f>
        <v>28490.486400000002</v>
      </c>
      <c r="H30" s="26">
        <f>IF(G17=0,"-",(G30*100)/G17)</f>
        <v>71.875</v>
      </c>
      <c r="I30" s="25">
        <f>I17-I28</f>
        <v>30769.72531200001</v>
      </c>
      <c r="J30" s="26">
        <f>IF(I17=0,"-",(I30*100)/I17)</f>
        <v>71.875</v>
      </c>
      <c r="K30" s="25">
        <f>K17-K28</f>
        <v>33231.303336960016</v>
      </c>
      <c r="L30" s="26">
        <f>IF(K17=0,"-",(K30*100)/K17)</f>
        <v>71.875000000000014</v>
      </c>
      <c r="M30" s="25">
        <f>M17-M28</f>
        <v>35889.807603916808</v>
      </c>
      <c r="N30" s="26">
        <f>IF(M17=0,"-",(M30*100)/M17)</f>
        <v>71.875</v>
      </c>
      <c r="O30" s="25">
        <f>O17-O28</f>
        <v>38760.992212230158</v>
      </c>
      <c r="P30" s="26">
        <f>IF(O17=0,"-",(O30*100)/O17)</f>
        <v>71.875</v>
      </c>
      <c r="Q30" s="25">
        <f>Q17-Q28</f>
        <v>41861.871589208582</v>
      </c>
      <c r="R30" s="26">
        <f>IF(Q17=0,"-",(Q30*100)/Q17)</f>
        <v>71.875</v>
      </c>
      <c r="S30" s="25">
        <f>S17-S28</f>
        <v>45210.821316345275</v>
      </c>
      <c r="T30" s="26">
        <f>IF(S17=0,"-",(S30*100)/S17)</f>
        <v>71.875000000000014</v>
      </c>
      <c r="U30" s="25">
        <f>U17-U28</f>
        <v>48827.687021652891</v>
      </c>
      <c r="V30" s="26">
        <f>IF(U17=0,"-",(U30*100)/U17)</f>
        <v>71.874999999999986</v>
      </c>
      <c r="W30" s="25">
        <f>W17-W28</f>
        <v>52733.90198338512</v>
      </c>
      <c r="X30" s="26">
        <f>IF(W17=0,"-",(W30*100)/W17)</f>
        <v>71.875</v>
      </c>
      <c r="Y30" s="25">
        <f>Y17-Y28</f>
        <v>56952.614142055929</v>
      </c>
      <c r="Z30" s="26">
        <f>IF(Y17=0,"-",(Y30*100)/Y17)</f>
        <v>71.875</v>
      </c>
      <c r="AA30" s="25">
        <f>AA17-AA28</f>
        <v>463535.29091775481</v>
      </c>
      <c r="AB30" s="27"/>
    </row>
    <row r="32" spans="1:28" ht="12.75" customHeight="1" x14ac:dyDescent="0.2">
      <c r="A32" s="28"/>
      <c r="B32" s="17"/>
      <c r="C32" s="17"/>
      <c r="D32" s="29"/>
      <c r="E32" s="17"/>
      <c r="F32" s="29"/>
      <c r="G32" s="17"/>
      <c r="H32" s="29"/>
      <c r="I32" s="17"/>
      <c r="J32" s="29"/>
      <c r="K32" s="17"/>
      <c r="L32" s="29"/>
      <c r="M32" s="17"/>
      <c r="N32" s="29"/>
      <c r="O32" s="17"/>
      <c r="P32" s="29"/>
      <c r="Q32" s="17"/>
      <c r="R32" s="29"/>
      <c r="S32" s="17"/>
      <c r="T32" s="29"/>
      <c r="U32" s="17"/>
      <c r="V32" s="29"/>
      <c r="W32" s="17"/>
      <c r="X32" s="29"/>
      <c r="Y32" s="17"/>
      <c r="Z32" s="29"/>
      <c r="AA32" s="17"/>
      <c r="AB32" s="6"/>
    </row>
    <row r="33" spans="1:28" ht="12.75" customHeight="1" x14ac:dyDescent="0.2">
      <c r="A33" s="16" t="s">
        <v>10</v>
      </c>
      <c r="B33" s="17"/>
      <c r="C33" s="17"/>
      <c r="D33" s="29"/>
      <c r="E33" s="17"/>
      <c r="F33" s="29"/>
      <c r="G33" s="17"/>
      <c r="H33" s="29"/>
      <c r="I33" s="17"/>
      <c r="J33" s="29"/>
      <c r="K33" s="17"/>
      <c r="L33" s="29"/>
      <c r="M33" s="17"/>
      <c r="N33" s="29"/>
      <c r="O33" s="17"/>
      <c r="P33" s="29"/>
      <c r="Q33" s="17"/>
      <c r="R33" s="29"/>
      <c r="S33" s="17"/>
      <c r="T33" s="29"/>
      <c r="U33" s="17"/>
      <c r="V33" s="29"/>
      <c r="W33" s="17"/>
      <c r="X33" s="29"/>
      <c r="Y33" s="17"/>
      <c r="Z33" s="29"/>
      <c r="AA33" s="17"/>
      <c r="AB33" s="6"/>
    </row>
    <row r="34" spans="1:28" ht="12.75" customHeight="1" x14ac:dyDescent="0.2">
      <c r="A34" s="19" t="s">
        <v>238</v>
      </c>
      <c r="B34" s="100"/>
      <c r="C34" s="101">
        <f>Assumptions!$D$97</f>
        <v>1720</v>
      </c>
      <c r="D34" s="20">
        <f t="shared" ref="D34:D48" si="28">IF(C$48=0,"-",(C34*100)/C$48)</f>
        <v>6.6905937512966265</v>
      </c>
      <c r="E34" s="101">
        <f>Assumptions!$D$97</f>
        <v>1720</v>
      </c>
      <c r="F34" s="20">
        <f t="shared" ref="F34:F48" si="29">IF(E$48=0,"-",(E34*100)/E$48)</f>
        <v>6.5861165887632893</v>
      </c>
      <c r="G34" s="101">
        <f>Assumptions!$D$97</f>
        <v>1720</v>
      </c>
      <c r="H34" s="20">
        <f t="shared" ref="H34:H48" si="30">IF(G$48=0,"-",(G34*100)/G$48)</f>
        <v>6.4768853958328529</v>
      </c>
      <c r="I34" s="101">
        <f>Assumptions!$D$97</f>
        <v>1720</v>
      </c>
      <c r="J34" s="20">
        <f t="shared" ref="J34:J48" si="31">IF(I$48=0,"-",(I34*100)/I$48)</f>
        <v>5.0720045916140091</v>
      </c>
      <c r="K34" s="101">
        <f>Assumptions!$D$97</f>
        <v>1720</v>
      </c>
      <c r="L34" s="20">
        <f t="shared" ref="L34:L48" si="32">IF(K$48=0,"-",(K34*100)/K$48)</f>
        <v>4.996316399528995</v>
      </c>
      <c r="M34" s="101">
        <f>Assumptions!$D$97</f>
        <v>1720</v>
      </c>
      <c r="N34" s="20">
        <f t="shared" ref="N34:N48" si="33">IF(M$48=0,"-",(M34*100)/M$48)</f>
        <v>4.917070161539149</v>
      </c>
      <c r="O34" s="101">
        <f>Assumptions!$D$97</f>
        <v>1720</v>
      </c>
      <c r="P34" s="20">
        <f t="shared" ref="P34:P48" si="34">IF(O$48=0,"-",(O34*100)/O$48)</f>
        <v>4.8342602157073546</v>
      </c>
      <c r="Q34" s="101">
        <f>Assumptions!$D$97</f>
        <v>1720</v>
      </c>
      <c r="R34" s="20">
        <f t="shared" ref="R34:R48" si="35">IF(Q$48=0,"-",(Q34*100)/Q$48)</f>
        <v>4.747902403001496</v>
      </c>
      <c r="S34" s="101">
        <f>Assumptions!$D$97</f>
        <v>1720</v>
      </c>
      <c r="T34" s="20">
        <f t="shared" ref="T34:T48" si="36">IF(S$48=0,"-",(S34*100)/S$48)</f>
        <v>4.6580358279576002</v>
      </c>
      <c r="U34" s="101">
        <f>Assumptions!$D$97</f>
        <v>1720</v>
      </c>
      <c r="V34" s="20">
        <f t="shared" ref="V34:V48" si="37">IF(U$48=0,"-",(U34*100)/U$48)</f>
        <v>4.5647244233959308</v>
      </c>
      <c r="W34" s="101">
        <f>Assumptions!$D$97</f>
        <v>1720</v>
      </c>
      <c r="X34" s="20">
        <f t="shared" ref="X34:X48" si="38">IF(W$48=0,"-",(W34*100)/W$48)</f>
        <v>4.4680582594101814</v>
      </c>
      <c r="Y34" s="101">
        <f>Assumptions!$D$97</f>
        <v>1720</v>
      </c>
      <c r="Z34" s="20">
        <f t="shared" ref="Z34:Z48" si="39">IF(Y$48=0,"-",(Y34*100)/Y$48)</f>
        <v>4.3228357815296805</v>
      </c>
      <c r="AA34" s="21">
        <f t="shared" ref="AA34:AA47" si="40">SUM(Y34,W34,U34,S34,Q34,O34,M34,K34,I34,G34,E34,C34)</f>
        <v>20640</v>
      </c>
      <c r="AB34" s="22"/>
    </row>
    <row r="35" spans="1:28" ht="12.75" customHeight="1" x14ac:dyDescent="0.2">
      <c r="A35" s="19" t="s">
        <v>237</v>
      </c>
      <c r="B35" s="100"/>
      <c r="C35" s="101">
        <f>Assumptions!$D$103</f>
        <v>412.79999999999995</v>
      </c>
      <c r="D35" s="20">
        <f t="shared" si="28"/>
        <v>1.60574250031119</v>
      </c>
      <c r="E35" s="101">
        <f>Assumptions!$D$103</f>
        <v>412.79999999999995</v>
      </c>
      <c r="F35" s="20">
        <f t="shared" si="29"/>
        <v>1.5806679813031892</v>
      </c>
      <c r="G35" s="101">
        <f>Assumptions!$D$103</f>
        <v>412.79999999999995</v>
      </c>
      <c r="H35" s="20">
        <f t="shared" si="30"/>
        <v>1.5544524949998844</v>
      </c>
      <c r="I35" s="101">
        <f>Assumptions!$D$103</f>
        <v>412.79999999999995</v>
      </c>
      <c r="J35" s="20">
        <f t="shared" si="31"/>
        <v>1.2172811019873619</v>
      </c>
      <c r="K35" s="101">
        <f>Assumptions!$D$103</f>
        <v>412.79999999999995</v>
      </c>
      <c r="L35" s="20">
        <f t="shared" si="32"/>
        <v>1.1991159358869585</v>
      </c>
      <c r="M35" s="101">
        <f>Assumptions!$D$103</f>
        <v>412.79999999999995</v>
      </c>
      <c r="N35" s="20">
        <f t="shared" si="33"/>
        <v>1.1800968387693955</v>
      </c>
      <c r="O35" s="101">
        <f>Assumptions!$D$103</f>
        <v>412.79999999999995</v>
      </c>
      <c r="P35" s="20">
        <f t="shared" si="34"/>
        <v>1.160222451769765</v>
      </c>
      <c r="Q35" s="101">
        <f>Assumptions!$D$103</f>
        <v>412.79999999999995</v>
      </c>
      <c r="R35" s="20">
        <f t="shared" si="35"/>
        <v>1.1394965767203589</v>
      </c>
      <c r="S35" s="101">
        <f>Assumptions!$D$103</f>
        <v>412.79999999999995</v>
      </c>
      <c r="T35" s="20">
        <f t="shared" si="36"/>
        <v>1.1179285987098238</v>
      </c>
      <c r="U35" s="101">
        <f>Assumptions!$D$103</f>
        <v>412.79999999999995</v>
      </c>
      <c r="V35" s="20">
        <f t="shared" si="37"/>
        <v>1.0955338616150232</v>
      </c>
      <c r="W35" s="101">
        <f>Assumptions!$D$103</f>
        <v>412.79999999999995</v>
      </c>
      <c r="X35" s="20">
        <f t="shared" si="38"/>
        <v>1.0723339822584435</v>
      </c>
      <c r="Y35" s="101">
        <f>Assumptions!$D$103*2</f>
        <v>825.59999999999991</v>
      </c>
      <c r="Z35" s="20">
        <f t="shared" si="39"/>
        <v>2.0749611751342463</v>
      </c>
      <c r="AA35" s="21">
        <f t="shared" si="40"/>
        <v>5366.4000000000015</v>
      </c>
      <c r="AB35" s="22"/>
    </row>
    <row r="36" spans="1:28" ht="12.75" customHeight="1" x14ac:dyDescent="0.2">
      <c r="A36" s="19" t="s">
        <v>236</v>
      </c>
      <c r="B36" s="100"/>
      <c r="C36" s="101">
        <f>Assumptions!$D$109</f>
        <v>6880</v>
      </c>
      <c r="D36" s="20">
        <f t="shared" si="28"/>
        <v>26.762375005186506</v>
      </c>
      <c r="E36" s="101">
        <f>Assumptions!$D$109</f>
        <v>6880</v>
      </c>
      <c r="F36" s="20">
        <f t="shared" si="29"/>
        <v>26.344466355053157</v>
      </c>
      <c r="G36" s="101">
        <f>Assumptions!$D$109</f>
        <v>6880</v>
      </c>
      <c r="H36" s="20">
        <f t="shared" si="30"/>
        <v>25.907541583331412</v>
      </c>
      <c r="I36" s="101">
        <f>Assumptions!$D$109*2</f>
        <v>13760</v>
      </c>
      <c r="J36" s="20">
        <f t="shared" si="31"/>
        <v>40.576036732912073</v>
      </c>
      <c r="K36" s="101">
        <f>Assumptions!$D$109*2</f>
        <v>13760</v>
      </c>
      <c r="L36" s="20">
        <f t="shared" si="32"/>
        <v>39.97053119623196</v>
      </c>
      <c r="M36" s="101">
        <f>Assumptions!$D$109*2</f>
        <v>13760</v>
      </c>
      <c r="N36" s="20">
        <f t="shared" si="33"/>
        <v>39.336561292313192</v>
      </c>
      <c r="O36" s="101">
        <f>Assumptions!$D$109*2</f>
        <v>13760</v>
      </c>
      <c r="P36" s="20">
        <f t="shared" si="34"/>
        <v>38.674081725658837</v>
      </c>
      <c r="Q36" s="101">
        <f>Assumptions!$D$109*2</f>
        <v>13760</v>
      </c>
      <c r="R36" s="20">
        <f t="shared" si="35"/>
        <v>37.983219224011968</v>
      </c>
      <c r="S36" s="101">
        <f>Assumptions!$D$109*2</f>
        <v>13760</v>
      </c>
      <c r="T36" s="20">
        <f t="shared" si="36"/>
        <v>37.264286623660801</v>
      </c>
      <c r="U36" s="101">
        <f>Assumptions!$D$109*2</f>
        <v>13760</v>
      </c>
      <c r="V36" s="20">
        <f t="shared" si="37"/>
        <v>36.517795387167446</v>
      </c>
      <c r="W36" s="101">
        <f>Assumptions!$D$109*2</f>
        <v>13760</v>
      </c>
      <c r="X36" s="20">
        <f t="shared" si="38"/>
        <v>35.744466075281451</v>
      </c>
      <c r="Y36" s="101">
        <f>Assumptions!$D$109*2</f>
        <v>13760</v>
      </c>
      <c r="Z36" s="20">
        <f t="shared" si="39"/>
        <v>34.582686252237444</v>
      </c>
      <c r="AA36" s="21">
        <f t="shared" si="40"/>
        <v>144480</v>
      </c>
      <c r="AB36" s="22"/>
    </row>
    <row r="37" spans="1:28" ht="12.75" customHeight="1" x14ac:dyDescent="0.2">
      <c r="A37" s="19" t="s">
        <v>239</v>
      </c>
      <c r="B37" s="100"/>
      <c r="C37" s="101">
        <f>Assumptions!$D$114</f>
        <v>2064</v>
      </c>
      <c r="D37" s="20">
        <f t="shared" si="28"/>
        <v>8.0287125015559528</v>
      </c>
      <c r="E37" s="101">
        <f>Assumptions!$D$114</f>
        <v>2064</v>
      </c>
      <c r="F37" s="20">
        <f t="shared" si="29"/>
        <v>7.9033399065159475</v>
      </c>
      <c r="G37" s="101">
        <f>Assumptions!$D$114</f>
        <v>2064</v>
      </c>
      <c r="H37" s="20">
        <f t="shared" si="30"/>
        <v>7.7722624749994234</v>
      </c>
      <c r="I37" s="101">
        <f>Assumptions!$D$114</f>
        <v>2064</v>
      </c>
      <c r="J37" s="20">
        <f t="shared" si="31"/>
        <v>6.0864055099368111</v>
      </c>
      <c r="K37" s="101">
        <f>Assumptions!$D$114</f>
        <v>2064</v>
      </c>
      <c r="L37" s="20">
        <f t="shared" si="32"/>
        <v>5.995579679434794</v>
      </c>
      <c r="M37" s="101">
        <f>Assumptions!$D$114</f>
        <v>2064</v>
      </c>
      <c r="N37" s="20">
        <f t="shared" si="33"/>
        <v>5.900484193846979</v>
      </c>
      <c r="O37" s="101">
        <f>Assumptions!$D$114</f>
        <v>2064</v>
      </c>
      <c r="P37" s="20">
        <f t="shared" si="34"/>
        <v>5.8011122588488258</v>
      </c>
      <c r="Q37" s="101">
        <f>Assumptions!$D$114</f>
        <v>2064</v>
      </c>
      <c r="R37" s="20">
        <f t="shared" si="35"/>
        <v>5.6974828836017952</v>
      </c>
      <c r="S37" s="101">
        <f>Assumptions!$D$114</f>
        <v>2064</v>
      </c>
      <c r="T37" s="20">
        <f t="shared" si="36"/>
        <v>5.5896429935491199</v>
      </c>
      <c r="U37" s="101">
        <f>Assumptions!$D$114</f>
        <v>2064</v>
      </c>
      <c r="V37" s="20">
        <f t="shared" si="37"/>
        <v>5.4776693080751171</v>
      </c>
      <c r="W37" s="101">
        <f>Assumptions!$D$114</f>
        <v>2064</v>
      </c>
      <c r="X37" s="20">
        <f t="shared" si="38"/>
        <v>5.3616699112922177</v>
      </c>
      <c r="Y37" s="101">
        <f>Assumptions!$D$114</f>
        <v>2064</v>
      </c>
      <c r="Z37" s="20">
        <f t="shared" si="39"/>
        <v>5.1874029378356159</v>
      </c>
      <c r="AA37" s="21">
        <f t="shared" si="40"/>
        <v>24768</v>
      </c>
      <c r="AB37" s="22"/>
    </row>
    <row r="38" spans="1:28" ht="12.75" customHeight="1" x14ac:dyDescent="0.2">
      <c r="A38" s="19" t="s">
        <v>240</v>
      </c>
      <c r="B38" s="100"/>
      <c r="C38" s="101">
        <f>Assumptions!$D$117</f>
        <v>3350</v>
      </c>
      <c r="D38" s="20">
        <f t="shared" si="28"/>
        <v>13.031098294676569</v>
      </c>
      <c r="E38" s="101">
        <f>Assumptions!$D$117</f>
        <v>3350</v>
      </c>
      <c r="F38" s="20">
        <f t="shared" si="29"/>
        <v>12.827610797881988</v>
      </c>
      <c r="G38" s="101">
        <f>Assumptions!$D$117</f>
        <v>3350</v>
      </c>
      <c r="H38" s="20">
        <f t="shared" si="30"/>
        <v>12.614863997697707</v>
      </c>
      <c r="I38" s="101">
        <f>Assumptions!$D$117</f>
        <v>3350</v>
      </c>
      <c r="J38" s="20">
        <f t="shared" si="31"/>
        <v>9.8786135941319362</v>
      </c>
      <c r="K38" s="101">
        <f>Assumptions!$D$117</f>
        <v>3350</v>
      </c>
      <c r="L38" s="20">
        <f t="shared" si="32"/>
        <v>9.7311976386175196</v>
      </c>
      <c r="M38" s="101">
        <f>Assumptions!$D$117</f>
        <v>3350</v>
      </c>
      <c r="N38" s="20">
        <f t="shared" si="33"/>
        <v>9.5768517681140395</v>
      </c>
      <c r="O38" s="101">
        <f>Assumptions!$D$117</f>
        <v>3350</v>
      </c>
      <c r="P38" s="20">
        <f t="shared" si="34"/>
        <v>9.4155649550114173</v>
      </c>
      <c r="Q38" s="101">
        <f>Assumptions!$D$117</f>
        <v>3350</v>
      </c>
      <c r="R38" s="20">
        <f t="shared" si="35"/>
        <v>9.2473680523575652</v>
      </c>
      <c r="S38" s="101">
        <f>Assumptions!$D$117</f>
        <v>3350</v>
      </c>
      <c r="T38" s="20">
        <f t="shared" si="36"/>
        <v>9.0723372230569534</v>
      </c>
      <c r="U38" s="101">
        <f>Assumptions!$D$117</f>
        <v>3350</v>
      </c>
      <c r="V38" s="20">
        <f t="shared" si="37"/>
        <v>8.8905969874281219</v>
      </c>
      <c r="W38" s="101">
        <f>Assumptions!$D$117</f>
        <v>3350</v>
      </c>
      <c r="X38" s="20">
        <f t="shared" si="38"/>
        <v>8.7023227726884347</v>
      </c>
      <c r="Y38" s="101">
        <f>Assumptions!$D$117</f>
        <v>3350</v>
      </c>
      <c r="Z38" s="20">
        <f t="shared" si="39"/>
        <v>8.4194766675142034</v>
      </c>
      <c r="AA38" s="21">
        <f t="shared" si="40"/>
        <v>40200</v>
      </c>
      <c r="AB38" s="22"/>
    </row>
    <row r="39" spans="1:28" ht="12.75" customHeight="1" x14ac:dyDescent="0.2">
      <c r="A39" s="19" t="s">
        <v>231</v>
      </c>
      <c r="B39" s="100"/>
      <c r="C39" s="101">
        <f>Assumptions!$D90</f>
        <v>1000</v>
      </c>
      <c r="D39" s="20">
        <f t="shared" si="28"/>
        <v>3.8898800879631552</v>
      </c>
      <c r="E39" s="101">
        <f>Assumptions!$D90</f>
        <v>1000</v>
      </c>
      <c r="F39" s="20">
        <f t="shared" si="29"/>
        <v>3.8291375516065633</v>
      </c>
      <c r="G39" s="101">
        <f>Assumptions!$D90</f>
        <v>1000</v>
      </c>
      <c r="H39" s="20">
        <f t="shared" si="30"/>
        <v>3.7656310440888676</v>
      </c>
      <c r="I39" s="101">
        <f>Assumptions!$D90</f>
        <v>1000</v>
      </c>
      <c r="J39" s="20">
        <f t="shared" si="31"/>
        <v>2.9488398788453543</v>
      </c>
      <c r="K39" s="101">
        <f>Assumptions!$D90</f>
        <v>1000</v>
      </c>
      <c r="L39" s="20">
        <f t="shared" si="32"/>
        <v>2.9048351160052297</v>
      </c>
      <c r="M39" s="101">
        <f>Assumptions!$D90</f>
        <v>1000</v>
      </c>
      <c r="N39" s="20">
        <f t="shared" si="33"/>
        <v>2.8587617218250867</v>
      </c>
      <c r="O39" s="101">
        <f>Assumptions!$D90</f>
        <v>1000</v>
      </c>
      <c r="P39" s="20">
        <f t="shared" si="34"/>
        <v>2.8106164044810202</v>
      </c>
      <c r="Q39" s="101">
        <f>Assumptions!$D90</f>
        <v>1000</v>
      </c>
      <c r="R39" s="20">
        <f t="shared" si="35"/>
        <v>2.7604083738380791</v>
      </c>
      <c r="S39" s="101">
        <f>Assumptions!$D90</f>
        <v>1000</v>
      </c>
      <c r="T39" s="20">
        <f t="shared" si="36"/>
        <v>2.7081603650916279</v>
      </c>
      <c r="U39" s="101">
        <f>Assumptions!$D90</f>
        <v>1000</v>
      </c>
      <c r="V39" s="20">
        <f t="shared" si="37"/>
        <v>2.6539095484860065</v>
      </c>
      <c r="W39" s="101">
        <f>Assumptions!$D90</f>
        <v>1000</v>
      </c>
      <c r="X39" s="20">
        <f t="shared" si="38"/>
        <v>2.5977082903547566</v>
      </c>
      <c r="Y39" s="101">
        <f>Assumptions!$D90</f>
        <v>1000</v>
      </c>
      <c r="Z39" s="20">
        <f t="shared" si="39"/>
        <v>2.5132766171684189</v>
      </c>
      <c r="AA39" s="21">
        <f t="shared" si="40"/>
        <v>12000</v>
      </c>
      <c r="AB39" s="22"/>
    </row>
    <row r="40" spans="1:28" ht="12.75" customHeight="1" x14ac:dyDescent="0.2">
      <c r="A40" s="19" t="s">
        <v>14</v>
      </c>
      <c r="B40" s="100"/>
      <c r="C40" s="101">
        <f>Assumptions!$D88*C17</f>
        <v>1699.2</v>
      </c>
      <c r="D40" s="20">
        <f t="shared" si="28"/>
        <v>6.6096842454669931</v>
      </c>
      <c r="E40" s="101">
        <f>Assumptions!$D88*E17</f>
        <v>1835.1359999999997</v>
      </c>
      <c r="F40" s="20">
        <f t="shared" si="29"/>
        <v>7.0269881699050618</v>
      </c>
      <c r="G40" s="101">
        <f>Assumptions!$D88*G17</f>
        <v>1981.9468800000004</v>
      </c>
      <c r="H40" s="20">
        <f t="shared" si="30"/>
        <v>7.463280699063076</v>
      </c>
      <c r="I40" s="101">
        <f>Assumptions!$D88*I17</f>
        <v>2140.5026304000007</v>
      </c>
      <c r="J40" s="20">
        <f t="shared" si="31"/>
        <v>6.3119995172969006</v>
      </c>
      <c r="K40" s="101">
        <f>Assumptions!$D88*K17</f>
        <v>2311.7428408320006</v>
      </c>
      <c r="L40" s="20">
        <f t="shared" si="32"/>
        <v>6.7152317832224835</v>
      </c>
      <c r="M40" s="101">
        <f>Assumptions!$D88*M17</f>
        <v>2496.6822680985606</v>
      </c>
      <c r="N40" s="20">
        <f t="shared" si="33"/>
        <v>7.1374196995996035</v>
      </c>
      <c r="O40" s="101">
        <f>Assumptions!$D88*O17</f>
        <v>2696.416849546446</v>
      </c>
      <c r="P40" s="20">
        <f t="shared" si="34"/>
        <v>7.5785934306542719</v>
      </c>
      <c r="Q40" s="101">
        <f>Assumptions!$D88*Q17</f>
        <v>2912.1301975101624</v>
      </c>
      <c r="R40" s="20">
        <f t="shared" si="35"/>
        <v>8.0386685829137914</v>
      </c>
      <c r="S40" s="101">
        <f>Assumptions!$D88*S17</f>
        <v>3145.1006133109754</v>
      </c>
      <c r="T40" s="20">
        <f t="shared" si="36"/>
        <v>8.5174368251941548</v>
      </c>
      <c r="U40" s="101">
        <f>Assumptions!$D88*U17</f>
        <v>3396.7086623758537</v>
      </c>
      <c r="V40" s="20">
        <f t="shared" si="37"/>
        <v>9.0145575525044084</v>
      </c>
      <c r="W40" s="101">
        <f>Assumptions!$D88*W17</f>
        <v>3668.4453553659218</v>
      </c>
      <c r="X40" s="20">
        <f t="shared" si="38"/>
        <v>9.5295509123474567</v>
      </c>
      <c r="Y40" s="101">
        <f>Assumptions!$D88*Y17</f>
        <v>3961.9209837951953</v>
      </c>
      <c r="Z40" s="20">
        <f t="shared" si="39"/>
        <v>9.957403367641362</v>
      </c>
      <c r="AA40" s="21">
        <f t="shared" si="40"/>
        <v>32245.933281235117</v>
      </c>
      <c r="AB40" s="22"/>
    </row>
    <row r="41" spans="1:28" ht="12.75" customHeight="1" x14ac:dyDescent="0.2">
      <c r="A41" s="19" t="s">
        <v>15</v>
      </c>
      <c r="B41" s="100"/>
      <c r="C41" s="101">
        <f>Assumptions!$D81</f>
        <v>2083.3333333333335</v>
      </c>
      <c r="D41" s="20">
        <f t="shared" si="28"/>
        <v>8.1039168499232392</v>
      </c>
      <c r="E41" s="101">
        <f>Assumptions!$D81</f>
        <v>2083.3333333333335</v>
      </c>
      <c r="F41" s="20">
        <f t="shared" si="29"/>
        <v>7.9773698991803412</v>
      </c>
      <c r="G41" s="101">
        <f>Assumptions!$D81</f>
        <v>2083.3333333333335</v>
      </c>
      <c r="H41" s="20">
        <f t="shared" si="30"/>
        <v>7.8450646751851414</v>
      </c>
      <c r="I41" s="101">
        <f>Assumptions!$D81</f>
        <v>2083.3333333333335</v>
      </c>
      <c r="J41" s="20">
        <f t="shared" si="31"/>
        <v>6.1434164142611554</v>
      </c>
      <c r="K41" s="101">
        <f>Assumptions!$D81</f>
        <v>2083.3333333333335</v>
      </c>
      <c r="L41" s="20">
        <f t="shared" si="32"/>
        <v>6.0517398250108956</v>
      </c>
      <c r="M41" s="101">
        <f>Assumptions!$D81</f>
        <v>2083.3333333333335</v>
      </c>
      <c r="N41" s="20">
        <f t="shared" si="33"/>
        <v>5.9557535871355975</v>
      </c>
      <c r="O41" s="101">
        <f>Assumptions!$D81</f>
        <v>2083.3333333333335</v>
      </c>
      <c r="P41" s="20">
        <f t="shared" si="34"/>
        <v>5.8554508426687928</v>
      </c>
      <c r="Q41" s="101">
        <f>Assumptions!$D81</f>
        <v>2083.3333333333335</v>
      </c>
      <c r="R41" s="20">
        <f t="shared" si="35"/>
        <v>5.7508507788293315</v>
      </c>
      <c r="S41" s="101">
        <f>Assumptions!$D81</f>
        <v>2083.3333333333335</v>
      </c>
      <c r="T41" s="20">
        <f t="shared" si="36"/>
        <v>5.6420007606075586</v>
      </c>
      <c r="U41" s="101">
        <f>Assumptions!$D81</f>
        <v>2083.3333333333335</v>
      </c>
      <c r="V41" s="20">
        <f t="shared" si="37"/>
        <v>5.5289782260125131</v>
      </c>
      <c r="W41" s="101">
        <f>Assumptions!$D81</f>
        <v>2083.3333333333335</v>
      </c>
      <c r="X41" s="20">
        <f t="shared" si="38"/>
        <v>5.4118922715724098</v>
      </c>
      <c r="Y41" s="101">
        <f>Assumptions!$D81</f>
        <v>2083.3333333333335</v>
      </c>
      <c r="Z41" s="20">
        <f t="shared" si="39"/>
        <v>5.2359929524342057</v>
      </c>
      <c r="AA41" s="21">
        <f t="shared" si="40"/>
        <v>24999.999999999996</v>
      </c>
      <c r="AB41" s="22"/>
    </row>
    <row r="42" spans="1:28" ht="12.75" customHeight="1" x14ac:dyDescent="0.2">
      <c r="A42" s="19" t="s">
        <v>230</v>
      </c>
      <c r="B42" s="100"/>
      <c r="C42" s="101">
        <f>Assumptions!$D86</f>
        <v>600</v>
      </c>
      <c r="D42" s="20">
        <f t="shared" si="28"/>
        <v>2.3339280527778929</v>
      </c>
      <c r="E42" s="101">
        <f>Assumptions!$D86</f>
        <v>600</v>
      </c>
      <c r="F42" s="20">
        <f t="shared" si="29"/>
        <v>2.2974825309639382</v>
      </c>
      <c r="G42" s="101">
        <f>Assumptions!$D86</f>
        <v>600</v>
      </c>
      <c r="H42" s="20">
        <f t="shared" si="30"/>
        <v>2.2593786264533207</v>
      </c>
      <c r="I42" s="101">
        <f>Assumptions!$D86</f>
        <v>600</v>
      </c>
      <c r="J42" s="20">
        <f t="shared" si="31"/>
        <v>1.7693039273072126</v>
      </c>
      <c r="K42" s="101">
        <f>Assumptions!$D86</f>
        <v>600</v>
      </c>
      <c r="L42" s="20">
        <f t="shared" si="32"/>
        <v>1.7429010696031377</v>
      </c>
      <c r="M42" s="101">
        <f>Assumptions!$D86</f>
        <v>600</v>
      </c>
      <c r="N42" s="20">
        <f t="shared" si="33"/>
        <v>1.7152570330950518</v>
      </c>
      <c r="O42" s="101">
        <f>Assumptions!$D86</f>
        <v>600</v>
      </c>
      <c r="P42" s="20">
        <f t="shared" si="34"/>
        <v>1.6863698426886122</v>
      </c>
      <c r="Q42" s="101">
        <f>Assumptions!$D86</f>
        <v>600</v>
      </c>
      <c r="R42" s="20">
        <f t="shared" si="35"/>
        <v>1.6562450243028473</v>
      </c>
      <c r="S42" s="101">
        <f>Assumptions!$D86</f>
        <v>600</v>
      </c>
      <c r="T42" s="20">
        <f t="shared" si="36"/>
        <v>1.6248962190549767</v>
      </c>
      <c r="U42" s="101">
        <f>Assumptions!$D86</f>
        <v>600</v>
      </c>
      <c r="V42" s="20">
        <f t="shared" si="37"/>
        <v>1.5923457290916039</v>
      </c>
      <c r="W42" s="101">
        <f>Assumptions!$D86</f>
        <v>600</v>
      </c>
      <c r="X42" s="20">
        <f t="shared" si="38"/>
        <v>1.558624974212854</v>
      </c>
      <c r="Y42" s="101">
        <f>Assumptions!$D86</f>
        <v>600</v>
      </c>
      <c r="Z42" s="20">
        <f t="shared" si="39"/>
        <v>1.5079659703010513</v>
      </c>
      <c r="AA42" s="21">
        <f t="shared" si="40"/>
        <v>7200</v>
      </c>
      <c r="AB42" s="22"/>
    </row>
    <row r="43" spans="1:28" ht="12.75" customHeight="1" x14ac:dyDescent="0.2">
      <c r="A43" s="19" t="s">
        <v>17</v>
      </c>
      <c r="B43" s="100"/>
      <c r="C43" s="101">
        <f>Assumptions!$D82</f>
        <v>500</v>
      </c>
      <c r="D43" s="20">
        <f t="shared" si="28"/>
        <v>1.9449400439815776</v>
      </c>
      <c r="E43" s="101">
        <f>Assumptions!$D82</f>
        <v>500</v>
      </c>
      <c r="F43" s="20">
        <f t="shared" si="29"/>
        <v>1.9145687758032817</v>
      </c>
      <c r="G43" s="101">
        <f>Assumptions!$D82</f>
        <v>500</v>
      </c>
      <c r="H43" s="20">
        <f t="shared" si="30"/>
        <v>1.8828155220444338</v>
      </c>
      <c r="I43" s="101">
        <f>Assumptions!$D82</f>
        <v>500</v>
      </c>
      <c r="J43" s="20">
        <f t="shared" si="31"/>
        <v>1.4744199394226771</v>
      </c>
      <c r="K43" s="101">
        <f>Assumptions!$D82</f>
        <v>500</v>
      </c>
      <c r="L43" s="20">
        <f t="shared" si="32"/>
        <v>1.4524175580026149</v>
      </c>
      <c r="M43" s="101">
        <f>Assumptions!$D82</f>
        <v>500</v>
      </c>
      <c r="N43" s="20">
        <f t="shared" si="33"/>
        <v>1.4293808609125433</v>
      </c>
      <c r="O43" s="101">
        <f>Assumptions!$D82</f>
        <v>500</v>
      </c>
      <c r="P43" s="20">
        <f t="shared" si="34"/>
        <v>1.4053082022405101</v>
      </c>
      <c r="Q43" s="101">
        <f>Assumptions!$D82</f>
        <v>500</v>
      </c>
      <c r="R43" s="20">
        <f t="shared" si="35"/>
        <v>1.3802041869190396</v>
      </c>
      <c r="S43" s="101">
        <f>Assumptions!$D82</f>
        <v>500</v>
      </c>
      <c r="T43" s="20">
        <f t="shared" si="36"/>
        <v>1.354080182545814</v>
      </c>
      <c r="U43" s="101">
        <f>Assumptions!$D82</f>
        <v>500</v>
      </c>
      <c r="V43" s="20">
        <f t="shared" si="37"/>
        <v>1.3269547742430032</v>
      </c>
      <c r="W43" s="101">
        <f>Assumptions!$D82</f>
        <v>500</v>
      </c>
      <c r="X43" s="20">
        <f t="shared" si="38"/>
        <v>1.2988541451773783</v>
      </c>
      <c r="Y43" s="101">
        <f>Assumptions!$D82</f>
        <v>500</v>
      </c>
      <c r="Z43" s="20">
        <f t="shared" si="39"/>
        <v>1.2566383085842094</v>
      </c>
      <c r="AA43" s="21">
        <f t="shared" si="40"/>
        <v>6000</v>
      </c>
      <c r="AB43" s="22"/>
    </row>
    <row r="44" spans="1:28" ht="12.75" customHeight="1" x14ac:dyDescent="0.2">
      <c r="A44" s="19" t="s">
        <v>18</v>
      </c>
      <c r="B44" s="100"/>
      <c r="C44" s="101">
        <f>Assumptions!$D89</f>
        <v>1500</v>
      </c>
      <c r="D44" s="20">
        <f t="shared" si="28"/>
        <v>5.8348201319447321</v>
      </c>
      <c r="E44" s="101">
        <f>Assumptions!$D89</f>
        <v>1500</v>
      </c>
      <c r="F44" s="20">
        <f t="shared" si="29"/>
        <v>5.7437063274098454</v>
      </c>
      <c r="G44" s="101">
        <f>Assumptions!$D89</f>
        <v>1500</v>
      </c>
      <c r="H44" s="20">
        <f t="shared" si="30"/>
        <v>5.6484465661333019</v>
      </c>
      <c r="I44" s="101">
        <f>Assumptions!$D89</f>
        <v>1500</v>
      </c>
      <c r="J44" s="20">
        <f t="shared" si="31"/>
        <v>4.4232598182680318</v>
      </c>
      <c r="K44" s="101">
        <f>Assumptions!$D89</f>
        <v>1500</v>
      </c>
      <c r="L44" s="20">
        <f t="shared" si="32"/>
        <v>4.3572526740078441</v>
      </c>
      <c r="M44" s="101">
        <f>Assumptions!$D89</f>
        <v>1500</v>
      </c>
      <c r="N44" s="20">
        <f t="shared" si="33"/>
        <v>4.2881425827376294</v>
      </c>
      <c r="O44" s="101">
        <f>Assumptions!$D89</f>
        <v>1500</v>
      </c>
      <c r="P44" s="20">
        <f t="shared" si="34"/>
        <v>4.2159246067215301</v>
      </c>
      <c r="Q44" s="101">
        <f>Assumptions!$D89</f>
        <v>1500</v>
      </c>
      <c r="R44" s="20">
        <f t="shared" si="35"/>
        <v>4.140612560757118</v>
      </c>
      <c r="S44" s="101">
        <f>Assumptions!$D89</f>
        <v>1500</v>
      </c>
      <c r="T44" s="20">
        <f t="shared" si="36"/>
        <v>4.0622405476374421</v>
      </c>
      <c r="U44" s="101">
        <f>Assumptions!$D89</f>
        <v>1500</v>
      </c>
      <c r="V44" s="20">
        <f t="shared" si="37"/>
        <v>3.9808643227290097</v>
      </c>
      <c r="W44" s="101">
        <f>Assumptions!$D89</f>
        <v>1500</v>
      </c>
      <c r="X44" s="20">
        <f t="shared" si="38"/>
        <v>3.8965624355321351</v>
      </c>
      <c r="Y44" s="101">
        <f>Assumptions!$D89</f>
        <v>1500</v>
      </c>
      <c r="Z44" s="20">
        <f t="shared" si="39"/>
        <v>3.7699149257526283</v>
      </c>
      <c r="AA44" s="21">
        <f t="shared" si="40"/>
        <v>18000</v>
      </c>
      <c r="AB44" s="22"/>
    </row>
    <row r="45" spans="1:28" ht="12.75" customHeight="1" x14ac:dyDescent="0.2">
      <c r="A45" s="19" t="s">
        <v>235</v>
      </c>
      <c r="B45" s="100"/>
      <c r="C45" s="101">
        <f>Assumptions!$D93</f>
        <v>500</v>
      </c>
      <c r="D45" s="20">
        <f t="shared" si="28"/>
        <v>1.9449400439815776</v>
      </c>
      <c r="E45" s="101">
        <f>Assumptions!$D93</f>
        <v>500</v>
      </c>
      <c r="F45" s="20">
        <f t="shared" si="29"/>
        <v>1.9145687758032817</v>
      </c>
      <c r="G45" s="101">
        <f>Assumptions!$D93</f>
        <v>500</v>
      </c>
      <c r="H45" s="20">
        <f t="shared" si="30"/>
        <v>1.8828155220444338</v>
      </c>
      <c r="I45" s="101">
        <f>Assumptions!$D93</f>
        <v>500</v>
      </c>
      <c r="J45" s="20">
        <f t="shared" si="31"/>
        <v>1.4744199394226771</v>
      </c>
      <c r="K45" s="101">
        <f>Assumptions!$D93</f>
        <v>500</v>
      </c>
      <c r="L45" s="20">
        <f t="shared" si="32"/>
        <v>1.4524175580026149</v>
      </c>
      <c r="M45" s="101">
        <f>Assumptions!$D93</f>
        <v>500</v>
      </c>
      <c r="N45" s="20">
        <f t="shared" si="33"/>
        <v>1.4293808609125433</v>
      </c>
      <c r="O45" s="101">
        <f>Assumptions!$D93</f>
        <v>500</v>
      </c>
      <c r="P45" s="20">
        <f t="shared" si="34"/>
        <v>1.4053082022405101</v>
      </c>
      <c r="Q45" s="101">
        <f>Assumptions!$D93</f>
        <v>500</v>
      </c>
      <c r="R45" s="20">
        <f t="shared" si="35"/>
        <v>1.3802041869190396</v>
      </c>
      <c r="S45" s="101">
        <f>Assumptions!$D93</f>
        <v>500</v>
      </c>
      <c r="T45" s="20">
        <f t="shared" si="36"/>
        <v>1.354080182545814</v>
      </c>
      <c r="U45" s="101">
        <f>Assumptions!$D93</f>
        <v>500</v>
      </c>
      <c r="V45" s="20">
        <f t="shared" si="37"/>
        <v>1.3269547742430032</v>
      </c>
      <c r="W45" s="101">
        <f>Assumptions!$D93</f>
        <v>500</v>
      </c>
      <c r="X45" s="20">
        <f t="shared" si="38"/>
        <v>1.2988541451773783</v>
      </c>
      <c r="Y45" s="101">
        <f>Assumptions!$D93</f>
        <v>500</v>
      </c>
      <c r="Z45" s="20">
        <f t="shared" si="39"/>
        <v>1.2566383085842094</v>
      </c>
      <c r="AA45" s="21">
        <f t="shared" si="40"/>
        <v>6000</v>
      </c>
      <c r="AB45" s="22"/>
    </row>
    <row r="46" spans="1:28" ht="12.75" customHeight="1" x14ac:dyDescent="0.2">
      <c r="A46" s="19" t="s">
        <v>241</v>
      </c>
      <c r="B46" s="100"/>
      <c r="C46" s="101">
        <f>0.1*C17</f>
        <v>3398.4</v>
      </c>
      <c r="D46" s="20">
        <f t="shared" si="28"/>
        <v>13.219368490933986</v>
      </c>
      <c r="E46" s="101">
        <f>0.1*E17</f>
        <v>3670.2719999999995</v>
      </c>
      <c r="F46" s="20">
        <f t="shared" si="29"/>
        <v>14.053976339810124</v>
      </c>
      <c r="G46" s="101">
        <f>0.1*G17</f>
        <v>3963.8937600000008</v>
      </c>
      <c r="H46" s="20">
        <f t="shared" si="30"/>
        <v>14.926561398126152</v>
      </c>
      <c r="I46" s="101">
        <f>0.1*I17</f>
        <v>4281.0052608000015</v>
      </c>
      <c r="J46" s="20">
        <f t="shared" si="31"/>
        <v>12.623999034593801</v>
      </c>
      <c r="K46" s="101">
        <f>0.1*K17</f>
        <v>4623.4856816640013</v>
      </c>
      <c r="L46" s="20">
        <f t="shared" si="32"/>
        <v>13.430463566444967</v>
      </c>
      <c r="M46" s="101">
        <f>0.1*M17</f>
        <v>4993.3645361971212</v>
      </c>
      <c r="N46" s="20">
        <f t="shared" si="33"/>
        <v>14.274839399199207</v>
      </c>
      <c r="O46" s="101">
        <f>0.1*O17</f>
        <v>5392.8336990928919</v>
      </c>
      <c r="P46" s="20">
        <f t="shared" si="34"/>
        <v>15.157186861308544</v>
      </c>
      <c r="Q46" s="101">
        <f>0.1*Q17</f>
        <v>5824.2603950203247</v>
      </c>
      <c r="R46" s="20">
        <f t="shared" si="35"/>
        <v>16.077337165827583</v>
      </c>
      <c r="S46" s="101">
        <f>0.1*S17</f>
        <v>6290.2012266219508</v>
      </c>
      <c r="T46" s="20">
        <f t="shared" si="36"/>
        <v>17.03487365038831</v>
      </c>
      <c r="U46" s="101">
        <f>0.1*U17</f>
        <v>6793.4173247517074</v>
      </c>
      <c r="V46" s="20">
        <f t="shared" si="37"/>
        <v>18.029115105008817</v>
      </c>
      <c r="W46" s="101">
        <f>0.1*W17</f>
        <v>7336.8907107318437</v>
      </c>
      <c r="X46" s="20">
        <f t="shared" si="38"/>
        <v>19.059101824694913</v>
      </c>
      <c r="Y46" s="101">
        <f>0.1*Y17</f>
        <v>7923.8419675903906</v>
      </c>
      <c r="Z46" s="20">
        <f t="shared" si="39"/>
        <v>19.914806735282724</v>
      </c>
      <c r="AA46" s="21">
        <f t="shared" si="40"/>
        <v>64491.866562470233</v>
      </c>
      <c r="AB46" s="22"/>
    </row>
    <row r="47" spans="1:28" ht="12.75" customHeight="1" x14ac:dyDescent="0.2">
      <c r="A47" s="19" t="s">
        <v>19</v>
      </c>
      <c r="B47" s="100"/>
      <c r="C47" s="101"/>
      <c r="D47" s="20">
        <f t="shared" si="28"/>
        <v>0</v>
      </c>
      <c r="E47" s="101"/>
      <c r="F47" s="20">
        <f t="shared" si="29"/>
        <v>0</v>
      </c>
      <c r="G47" s="101"/>
      <c r="H47" s="20">
        <f t="shared" si="30"/>
        <v>0</v>
      </c>
      <c r="I47" s="101"/>
      <c r="J47" s="20">
        <f t="shared" si="31"/>
        <v>0</v>
      </c>
      <c r="K47" s="101"/>
      <c r="L47" s="20">
        <f t="shared" si="32"/>
        <v>0</v>
      </c>
      <c r="M47" s="101"/>
      <c r="N47" s="20">
        <f t="shared" si="33"/>
        <v>0</v>
      </c>
      <c r="O47" s="101"/>
      <c r="P47" s="20">
        <f t="shared" si="34"/>
        <v>0</v>
      </c>
      <c r="Q47" s="101"/>
      <c r="R47" s="20">
        <f t="shared" si="35"/>
        <v>0</v>
      </c>
      <c r="S47" s="101"/>
      <c r="T47" s="20">
        <f t="shared" si="36"/>
        <v>0</v>
      </c>
      <c r="U47" s="101"/>
      <c r="V47" s="20">
        <f t="shared" si="37"/>
        <v>0</v>
      </c>
      <c r="W47" s="101"/>
      <c r="X47" s="20">
        <f t="shared" si="38"/>
        <v>0</v>
      </c>
      <c r="Y47" s="101"/>
      <c r="Z47" s="20">
        <f t="shared" si="39"/>
        <v>0</v>
      </c>
      <c r="AA47" s="21">
        <f t="shared" si="40"/>
        <v>0</v>
      </c>
      <c r="AB47" s="22"/>
    </row>
    <row r="48" spans="1:28" ht="12.75" customHeight="1" x14ac:dyDescent="0.2">
      <c r="A48" s="23" t="s">
        <v>21</v>
      </c>
      <c r="B48" s="24"/>
      <c r="C48" s="25">
        <f>SUM(C34:C47)</f>
        <v>25707.733333333334</v>
      </c>
      <c r="D48" s="20">
        <f t="shared" si="28"/>
        <v>100</v>
      </c>
      <c r="E48" s="25">
        <f>SUM(E34:E47)</f>
        <v>26115.541333333331</v>
      </c>
      <c r="F48" s="20">
        <f t="shared" si="29"/>
        <v>100.00000000000001</v>
      </c>
      <c r="G48" s="25">
        <f>SUM(G34:G47)</f>
        <v>26555.973973333334</v>
      </c>
      <c r="H48" s="20">
        <f t="shared" si="30"/>
        <v>100</v>
      </c>
      <c r="I48" s="25">
        <f>SUM(I34:I47)</f>
        <v>33911.641224533334</v>
      </c>
      <c r="J48" s="20">
        <f t="shared" si="31"/>
        <v>100</v>
      </c>
      <c r="K48" s="25">
        <f>SUM(K34:K47)</f>
        <v>34425.361855829331</v>
      </c>
      <c r="L48" s="20">
        <f t="shared" si="32"/>
        <v>100</v>
      </c>
      <c r="M48" s="25">
        <f>SUM(M34:M47)</f>
        <v>34980.18013762901</v>
      </c>
      <c r="N48" s="20">
        <f t="shared" si="33"/>
        <v>100</v>
      </c>
      <c r="O48" s="25">
        <f>SUM(O34:O47)</f>
        <v>35579.383881972673</v>
      </c>
      <c r="P48" s="20">
        <f t="shared" si="34"/>
        <v>100</v>
      </c>
      <c r="Q48" s="25">
        <f>SUM(Q34:Q47)</f>
        <v>36226.523925863818</v>
      </c>
      <c r="R48" s="20">
        <f t="shared" si="35"/>
        <v>100</v>
      </c>
      <c r="S48" s="25">
        <f>SUM(S34:S47)</f>
        <v>36925.435173266262</v>
      </c>
      <c r="T48" s="20">
        <f t="shared" si="36"/>
        <v>100</v>
      </c>
      <c r="U48" s="25">
        <f>SUM(U34:U47)</f>
        <v>37680.259320460893</v>
      </c>
      <c r="V48" s="20">
        <f t="shared" si="37"/>
        <v>100</v>
      </c>
      <c r="W48" s="25">
        <f>SUM(W34:W47)</f>
        <v>38495.469399431095</v>
      </c>
      <c r="X48" s="20">
        <f t="shared" si="38"/>
        <v>100</v>
      </c>
      <c r="Y48" s="25">
        <f>SUM(Y34:Y47)</f>
        <v>39788.696284718921</v>
      </c>
      <c r="Z48" s="20">
        <f t="shared" si="39"/>
        <v>100</v>
      </c>
      <c r="AA48" s="25">
        <f>SUM(AA34:AA47)</f>
        <v>406392.19984370534</v>
      </c>
      <c r="AB48" s="27"/>
    </row>
    <row r="49" spans="1:28" ht="12.75" customHeight="1" x14ac:dyDescent="0.2">
      <c r="A49" s="28"/>
      <c r="B49" s="17"/>
      <c r="C49" s="17"/>
      <c r="D49" s="29"/>
      <c r="E49" s="17"/>
      <c r="F49" s="29"/>
      <c r="G49" s="17"/>
      <c r="H49" s="29"/>
      <c r="I49" s="17"/>
      <c r="J49" s="29"/>
      <c r="K49" s="17"/>
      <c r="L49" s="29"/>
      <c r="M49" s="17"/>
      <c r="N49" s="29"/>
      <c r="O49" s="17"/>
      <c r="P49" s="29"/>
      <c r="Q49" s="17"/>
      <c r="R49" s="29"/>
      <c r="S49" s="17"/>
      <c r="T49" s="29"/>
      <c r="U49" s="17"/>
      <c r="V49" s="29"/>
      <c r="W49" s="17"/>
      <c r="X49" s="29"/>
      <c r="Y49" s="17"/>
      <c r="Z49" s="29"/>
      <c r="AA49" s="17"/>
      <c r="AB49" s="6"/>
    </row>
    <row r="50" spans="1:28" ht="12.75" customHeight="1" x14ac:dyDescent="0.2">
      <c r="A50" s="23" t="s">
        <v>22</v>
      </c>
      <c r="B50" s="100"/>
      <c r="C50" s="25">
        <f>C30-C48</f>
        <v>-1281.7333333333336</v>
      </c>
      <c r="D50" s="20">
        <f>IF(C17=0,"-",(C50*100)/C17)</f>
        <v>-3.771578782172003</v>
      </c>
      <c r="E50" s="25">
        <f>E30-E48</f>
        <v>264.53866666666363</v>
      </c>
      <c r="F50" s="20">
        <f>IF(E17=0,"-",(E50*100)/E17)</f>
        <v>0.72076038687776733</v>
      </c>
      <c r="G50" s="25">
        <f>G30-G48</f>
        <v>1934.512426666668</v>
      </c>
      <c r="H50" s="20">
        <f>IF(G17=0,"-",(G50*100)/G17)</f>
        <v>4.8803336915534983</v>
      </c>
      <c r="I50" s="25">
        <f>I30-I48</f>
        <v>-3141.9159125333244</v>
      </c>
      <c r="J50" s="20">
        <f>IF(I17=0,"-",(I50*100)/I17)</f>
        <v>-7.3392012415938668</v>
      </c>
      <c r="K50" s="25">
        <f>K30-K48</f>
        <v>-1194.0585188693149</v>
      </c>
      <c r="L50" s="20">
        <f>IF(K17=0,"-",(K50*100)/K17)</f>
        <v>-2.5825937422165239</v>
      </c>
      <c r="M50" s="25">
        <f>M30-M48</f>
        <v>909.6274662877986</v>
      </c>
      <c r="N50" s="20">
        <f>IF(M17=0,"-",(M50*100)/M17)</f>
        <v>1.8216724609106119</v>
      </c>
      <c r="O50" s="25">
        <f>O30-O48</f>
        <v>3181.6083302574843</v>
      </c>
      <c r="P50" s="20">
        <f>IF(O17=0,"-",(O50*100)/O17)</f>
        <v>5.8996967230653725</v>
      </c>
      <c r="Q50" s="25">
        <f>Q30-Q48</f>
        <v>5635.3476633447644</v>
      </c>
      <c r="R50" s="20">
        <f>IF(Q17=0,"-",(Q50*100)/Q17)</f>
        <v>9.6756451139494413</v>
      </c>
      <c r="S50" s="25">
        <f>S30-S48</f>
        <v>8285.386143079013</v>
      </c>
      <c r="T50" s="20">
        <f>IF(S17=0,"-",(S50*100)/S17)</f>
        <v>13.171893624027263</v>
      </c>
      <c r="U50" s="25">
        <f>U30-U48</f>
        <v>11147.427701191998</v>
      </c>
      <c r="V50" s="20">
        <f>IF(U17=0,"-",(U50*100)/U17)</f>
        <v>16.409160762988201</v>
      </c>
      <c r="W50" s="25">
        <f>W30-W48</f>
        <v>14238.432583954025</v>
      </c>
      <c r="X50" s="20">
        <f>IF(W17=0,"-",(W50*100)/W17)</f>
        <v>19.406630336100186</v>
      </c>
      <c r="Y50" s="25">
        <f>Y30-Y48</f>
        <v>17163.917857337008</v>
      </c>
      <c r="Z50" s="20">
        <f>IF(Y17=0,"-",(Y50*100)/Y17)</f>
        <v>21.661105720608518</v>
      </c>
      <c r="AA50" s="25">
        <f>AA30-AA48</f>
        <v>57143.091074049473</v>
      </c>
      <c r="AB50" s="22"/>
    </row>
    <row r="51" spans="1:28" ht="12.75" customHeight="1" x14ac:dyDescent="0.2">
      <c r="A51" s="32"/>
      <c r="B51" s="33"/>
      <c r="C51" s="33"/>
      <c r="D51" s="34"/>
      <c r="E51" s="33"/>
      <c r="F51" s="34"/>
      <c r="G51" s="33"/>
      <c r="H51" s="34"/>
      <c r="I51" s="33"/>
      <c r="J51" s="34"/>
      <c r="K51" s="33"/>
      <c r="L51" s="34"/>
      <c r="M51" s="33"/>
      <c r="N51" s="34"/>
      <c r="O51" s="33"/>
      <c r="P51" s="34"/>
      <c r="Q51" s="33"/>
      <c r="R51" s="34"/>
      <c r="S51" s="33"/>
      <c r="T51" s="34"/>
      <c r="U51" s="33"/>
      <c r="V51" s="34"/>
      <c r="W51" s="33"/>
      <c r="X51" s="34"/>
      <c r="Y51" s="33"/>
      <c r="Z51" s="34"/>
      <c r="AA51" s="33"/>
      <c r="AB51" s="6"/>
    </row>
    <row r="52" spans="1:28" ht="12.75" customHeight="1" x14ac:dyDescent="0.2">
      <c r="A52" s="111" t="s">
        <v>245</v>
      </c>
      <c r="B52" s="35"/>
      <c r="C52" s="35"/>
      <c r="D52" s="36"/>
      <c r="E52" s="35"/>
      <c r="F52" s="36"/>
      <c r="G52" s="35"/>
      <c r="H52" s="36"/>
      <c r="I52" s="35"/>
      <c r="J52" s="36"/>
      <c r="K52" s="35"/>
      <c r="L52" s="36"/>
      <c r="M52" s="35"/>
      <c r="N52" s="36"/>
      <c r="O52" s="35"/>
      <c r="P52" s="36"/>
      <c r="Q52" s="35"/>
      <c r="R52" s="36"/>
      <c r="S52" s="35"/>
      <c r="T52" s="36"/>
      <c r="U52" s="35"/>
      <c r="V52" s="36"/>
      <c r="W52" s="35"/>
      <c r="X52" s="36"/>
      <c r="Y52" s="35"/>
      <c r="Z52" s="36"/>
      <c r="AA52" s="35"/>
      <c r="AB52" s="6"/>
    </row>
    <row r="53" spans="1:28" ht="12.75" customHeight="1" x14ac:dyDescent="0.2">
      <c r="A53" s="111" t="s">
        <v>257</v>
      </c>
      <c r="B53" s="35"/>
      <c r="C53" s="35"/>
      <c r="D53" s="36"/>
      <c r="E53" s="35"/>
      <c r="F53" s="36"/>
      <c r="G53" s="35"/>
      <c r="H53" s="36"/>
      <c r="I53" s="35"/>
      <c r="J53" s="36"/>
      <c r="K53" s="35"/>
      <c r="L53" s="36"/>
      <c r="M53" s="35"/>
      <c r="N53" s="36"/>
      <c r="O53" s="35"/>
      <c r="P53" s="36"/>
      <c r="Q53" s="35"/>
      <c r="R53" s="36"/>
      <c r="S53" s="35"/>
      <c r="T53" s="36"/>
      <c r="U53" s="35"/>
      <c r="V53" s="36"/>
      <c r="W53" s="35"/>
      <c r="X53" s="36"/>
      <c r="Y53" s="35"/>
      <c r="Z53" s="36"/>
      <c r="AA53" s="35"/>
      <c r="AB53" s="6"/>
    </row>
    <row r="54" spans="1:28" ht="12.75" customHeight="1" x14ac:dyDescent="0.2">
      <c r="A54" s="111" t="s">
        <v>247</v>
      </c>
      <c r="B54" s="35"/>
      <c r="C54" s="35"/>
      <c r="D54" s="36"/>
      <c r="E54" s="35"/>
      <c r="F54" s="36"/>
      <c r="G54" s="35"/>
      <c r="H54" s="36"/>
      <c r="I54" s="35"/>
      <c r="J54" s="36"/>
      <c r="K54" s="35"/>
      <c r="L54" s="36"/>
      <c r="M54" s="35"/>
      <c r="N54" s="36"/>
      <c r="O54" s="35"/>
      <c r="P54" s="36"/>
      <c r="Q54" s="35"/>
      <c r="R54" s="36"/>
      <c r="S54" s="35"/>
      <c r="T54" s="36"/>
      <c r="U54" s="35"/>
      <c r="V54" s="36"/>
      <c r="W54" s="35"/>
      <c r="X54" s="36"/>
      <c r="Y54" s="35"/>
      <c r="Z54" s="36"/>
      <c r="AA54" s="35"/>
      <c r="AB54" s="6"/>
    </row>
  </sheetData>
  <pageMargins left="0.75" right="0.75" top="1" bottom="1" header="0.5" footer="0.5"/>
  <pageSetup firstPageNumber="0" fitToWidth="0" fitToHeight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workbookViewId="0"/>
  </sheetViews>
  <sheetFormatPr defaultRowHeight="12.75" x14ac:dyDescent="0.2"/>
  <cols>
    <col min="1" max="1" width="25" bestFit="1" customWidth="1"/>
    <col min="2" max="2" width="25" customWidth="1"/>
    <col min="3" max="3" width="13" bestFit="1" customWidth="1"/>
    <col min="4" max="4" width="8.28515625" bestFit="1" customWidth="1"/>
    <col min="5" max="5" width="7" bestFit="1" customWidth="1"/>
    <col min="6" max="6" width="8.28515625" bestFit="1" customWidth="1"/>
    <col min="7" max="7" width="7" bestFit="1" customWidth="1"/>
    <col min="8" max="8" width="9.5703125" bestFit="1" customWidth="1"/>
    <col min="9" max="9" width="7" bestFit="1" customWidth="1"/>
    <col min="10" max="10" width="8.28515625" bestFit="1" customWidth="1"/>
    <col min="11" max="11" width="7" bestFit="1" customWidth="1"/>
    <col min="12" max="12" width="8.28515625" bestFit="1" customWidth="1"/>
    <col min="13" max="13" width="7" bestFit="1" customWidth="1"/>
    <col min="14" max="14" width="8.28515625" bestFit="1" customWidth="1"/>
    <col min="15" max="15" width="7" bestFit="1" customWidth="1"/>
    <col min="16" max="16" width="9.5703125" bestFit="1" customWidth="1"/>
    <col min="17" max="17" width="7" bestFit="1" customWidth="1"/>
    <col min="18" max="18" width="9.85546875" customWidth="1"/>
    <col min="19" max="19" width="7" bestFit="1" customWidth="1"/>
    <col min="20" max="20" width="10" customWidth="1"/>
    <col min="21" max="21" width="7" bestFit="1" customWidth="1"/>
    <col min="22" max="22" width="10.140625" customWidth="1"/>
    <col min="23" max="23" width="7" bestFit="1" customWidth="1"/>
    <col min="24" max="24" width="9.42578125" customWidth="1"/>
    <col min="25" max="25" width="7" bestFit="1" customWidth="1"/>
    <col min="26" max="26" width="9.85546875" customWidth="1"/>
    <col min="27" max="27" width="7" bestFit="1" customWidth="1"/>
    <col min="28" max="28" width="10" bestFit="1" customWidth="1"/>
    <col min="29" max="29" width="8" bestFit="1" customWidth="1"/>
  </cols>
  <sheetData>
    <row r="1" spans="1:29" ht="19.5" customHeight="1" x14ac:dyDescent="0.3">
      <c r="A1" s="37" t="s">
        <v>248</v>
      </c>
      <c r="B1" s="37"/>
      <c r="C1" s="1"/>
      <c r="D1" s="1"/>
      <c r="E1" s="1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  <c r="R1" s="1"/>
      <c r="S1" s="2"/>
      <c r="T1" s="1"/>
      <c r="U1" s="2"/>
      <c r="V1" s="1"/>
      <c r="W1" s="2"/>
      <c r="X1" s="1"/>
      <c r="Y1" s="2"/>
      <c r="Z1" s="1"/>
      <c r="AA1" s="2"/>
      <c r="AB1" s="1"/>
      <c r="AC1" s="1"/>
    </row>
    <row r="2" spans="1:29" ht="12.75" customHeight="1" x14ac:dyDescent="0.2">
      <c r="A2" s="3" t="s">
        <v>1</v>
      </c>
      <c r="B2" s="3"/>
      <c r="C2" s="1"/>
      <c r="D2" s="1"/>
      <c r="E2" s="1"/>
      <c r="F2" s="1"/>
      <c r="G2" s="2"/>
      <c r="H2" s="1"/>
      <c r="I2" s="2"/>
      <c r="J2" s="1"/>
      <c r="K2" s="2"/>
      <c r="L2" s="1"/>
      <c r="M2" s="2"/>
      <c r="N2" s="1"/>
      <c r="O2" s="2"/>
      <c r="P2" s="1"/>
      <c r="Q2" s="2"/>
      <c r="R2" s="1"/>
      <c r="S2" s="2"/>
      <c r="T2" s="1"/>
      <c r="U2" s="2"/>
      <c r="V2" s="1"/>
      <c r="W2" s="2"/>
      <c r="X2" s="1"/>
      <c r="Y2" s="2"/>
      <c r="Z2" s="1"/>
      <c r="AA2" s="2"/>
      <c r="AB2" s="1"/>
      <c r="AC2" s="1"/>
    </row>
    <row r="3" spans="1:29" ht="12.75" customHeight="1" x14ac:dyDescent="0.2">
      <c r="A3" s="141" t="s">
        <v>254</v>
      </c>
      <c r="B3" s="3"/>
      <c r="C3" s="1"/>
      <c r="D3" s="1"/>
      <c r="E3" s="1"/>
      <c r="F3" s="1"/>
      <c r="G3" s="2"/>
      <c r="H3" s="1"/>
      <c r="I3" s="2"/>
      <c r="J3" s="1"/>
      <c r="K3" s="2"/>
      <c r="L3" s="1"/>
      <c r="M3" s="2"/>
      <c r="N3" s="1"/>
      <c r="O3" s="2"/>
      <c r="P3" s="1"/>
      <c r="Q3" s="2"/>
      <c r="R3" s="1"/>
      <c r="S3" s="2"/>
      <c r="T3" s="1"/>
      <c r="U3" s="2"/>
      <c r="V3" s="1"/>
      <c r="W3" s="2"/>
      <c r="X3" s="1"/>
      <c r="Y3" s="2"/>
      <c r="Z3" s="1"/>
      <c r="AA3" s="2"/>
      <c r="AB3" s="1"/>
      <c r="AC3" s="1"/>
    </row>
    <row r="4" spans="1:29" ht="15" customHeight="1" x14ac:dyDescent="0.2">
      <c r="A4" s="4"/>
      <c r="B4" s="4"/>
      <c r="C4" s="1"/>
      <c r="D4" s="1"/>
      <c r="E4" s="1"/>
      <c r="F4" s="1"/>
      <c r="G4" s="2"/>
      <c r="H4" s="1"/>
      <c r="I4" s="2"/>
      <c r="J4" s="1"/>
      <c r="K4" s="2"/>
      <c r="L4" s="1"/>
      <c r="M4" s="2"/>
      <c r="N4" s="1"/>
      <c r="O4" s="2"/>
      <c r="P4" s="1"/>
      <c r="Q4" s="2"/>
      <c r="R4" s="1"/>
      <c r="S4" s="2"/>
      <c r="T4" s="1"/>
      <c r="U4" s="2"/>
      <c r="V4" s="1"/>
      <c r="W4" s="2"/>
      <c r="X4" s="1"/>
      <c r="Y4" s="2"/>
      <c r="Z4" s="1"/>
      <c r="AA4" s="2"/>
      <c r="AB4" s="1"/>
      <c r="AC4" s="1"/>
    </row>
    <row r="5" spans="1:29" ht="12.75" customHeight="1" x14ac:dyDescent="0.2">
      <c r="A5" s="5" t="s">
        <v>2</v>
      </c>
      <c r="B5" s="110"/>
      <c r="C5" s="1"/>
      <c r="D5" s="1"/>
      <c r="E5" s="1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6"/>
    </row>
    <row r="6" spans="1:29" ht="12.75" customHeight="1" x14ac:dyDescent="0.2">
      <c r="A6" s="140">
        <v>40909</v>
      </c>
      <c r="B6" s="143"/>
      <c r="C6" s="7"/>
      <c r="D6" s="1"/>
      <c r="E6" s="1"/>
      <c r="F6" s="1"/>
      <c r="G6" s="2"/>
      <c r="H6" s="1"/>
      <c r="I6" s="2"/>
      <c r="J6" s="1"/>
      <c r="K6" s="2"/>
      <c r="L6" s="1"/>
      <c r="M6" s="2"/>
      <c r="N6" s="1"/>
      <c r="O6" s="2"/>
      <c r="P6" s="1"/>
      <c r="Q6" s="2"/>
      <c r="R6" s="1"/>
      <c r="S6" s="2"/>
      <c r="T6" s="1"/>
      <c r="U6" s="2"/>
      <c r="V6" s="1"/>
      <c r="W6" s="2"/>
      <c r="X6" s="1"/>
      <c r="Y6" s="2"/>
      <c r="Z6" s="1"/>
      <c r="AA6" s="2"/>
      <c r="AB6" s="1"/>
      <c r="AC6" s="6"/>
    </row>
    <row r="7" spans="1:29" ht="12.75" customHeight="1" x14ac:dyDescent="0.2">
      <c r="A7" s="8"/>
      <c r="B7" s="1"/>
      <c r="C7" s="9"/>
      <c r="D7" s="9"/>
      <c r="E7" s="10"/>
      <c r="F7" s="9"/>
      <c r="G7" s="10"/>
      <c r="H7" s="9"/>
      <c r="I7" s="10"/>
      <c r="J7" s="9"/>
      <c r="K7" s="10"/>
      <c r="L7" s="9"/>
      <c r="M7" s="10"/>
      <c r="N7" s="9"/>
      <c r="O7" s="10"/>
      <c r="P7" s="9"/>
      <c r="Q7" s="10"/>
      <c r="R7" s="9"/>
      <c r="S7" s="10"/>
      <c r="T7" s="9"/>
      <c r="U7" s="10"/>
      <c r="V7" s="9"/>
      <c r="W7" s="10"/>
      <c r="X7" s="9"/>
      <c r="Y7" s="10"/>
      <c r="Z7" s="9"/>
      <c r="AA7" s="10"/>
      <c r="AB7" s="9"/>
      <c r="AC7" s="6"/>
    </row>
    <row r="8" spans="1:29" ht="24" customHeight="1" x14ac:dyDescent="0.2">
      <c r="A8" s="11"/>
      <c r="B8" s="11"/>
      <c r="C8" s="12"/>
      <c r="D8" s="13">
        <f>A6</f>
        <v>40909</v>
      </c>
      <c r="E8" s="14"/>
      <c r="F8" s="13">
        <f>DATE(YEAR(A6),MONTH(A6)+1,1)</f>
        <v>40940</v>
      </c>
      <c r="G8" s="12"/>
      <c r="H8" s="13">
        <f>DATE(YEAR(F8),MONTH(F8)+1,1)</f>
        <v>40969</v>
      </c>
      <c r="I8" s="12"/>
      <c r="J8" s="13">
        <f>DATE(YEAR(H8),MONTH(H8)+1,1)</f>
        <v>41000</v>
      </c>
      <c r="K8" s="12"/>
      <c r="L8" s="13">
        <f>DATE(YEAR(J8),MONTH(J8)+1,1)</f>
        <v>41030</v>
      </c>
      <c r="M8" s="12"/>
      <c r="N8" s="13">
        <f>DATE(YEAR(L8),MONTH(L8)+1,1)</f>
        <v>41061</v>
      </c>
      <c r="O8" s="12"/>
      <c r="P8" s="13">
        <f>DATE(YEAR(N8),MONTH(N8)+1,1)</f>
        <v>41091</v>
      </c>
      <c r="Q8" s="12"/>
      <c r="R8" s="13">
        <f>DATE(YEAR(P8),MONTH(P8)+1,1)</f>
        <v>41122</v>
      </c>
      <c r="S8" s="12"/>
      <c r="T8" s="13">
        <f>DATE(YEAR(R8),MONTH(R8)+1,1)</f>
        <v>41153</v>
      </c>
      <c r="U8" s="12"/>
      <c r="V8" s="13">
        <f>DATE(YEAR(T8),MONTH(T8)+1,1)</f>
        <v>41183</v>
      </c>
      <c r="W8" s="12"/>
      <c r="X8" s="13">
        <f>DATE(YEAR(V8),MONTH(V8)+1,1)</f>
        <v>41214</v>
      </c>
      <c r="Y8" s="12"/>
      <c r="Z8" s="13">
        <f>DATE(YEAR(X8),MONTH(X8)+1,1)</f>
        <v>41244</v>
      </c>
      <c r="AA8" s="15"/>
      <c r="AB8" s="12" t="s">
        <v>4</v>
      </c>
      <c r="AC8" s="7"/>
    </row>
    <row r="9" spans="1:29" ht="24" customHeight="1" x14ac:dyDescent="0.2">
      <c r="A9" s="115" t="s">
        <v>251</v>
      </c>
      <c r="B9" s="120">
        <f>Assumptions!D76</f>
        <v>169700</v>
      </c>
      <c r="C9" s="116"/>
      <c r="D9" s="117"/>
      <c r="E9" s="118"/>
      <c r="F9" s="117"/>
      <c r="G9" s="116"/>
      <c r="H9" s="117"/>
      <c r="I9" s="116"/>
      <c r="J9" s="117"/>
      <c r="K9" s="116"/>
      <c r="L9" s="117"/>
      <c r="M9" s="116"/>
      <c r="N9" s="117"/>
      <c r="O9" s="116"/>
      <c r="P9" s="117"/>
      <c r="Q9" s="116"/>
      <c r="R9" s="117"/>
      <c r="S9" s="116"/>
      <c r="T9" s="117"/>
      <c r="U9" s="116"/>
      <c r="V9" s="117"/>
      <c r="W9" s="116"/>
      <c r="X9" s="117"/>
      <c r="Y9" s="116"/>
      <c r="Z9" s="117"/>
      <c r="AA9" s="119"/>
      <c r="AB9" s="116"/>
      <c r="AC9" s="1"/>
    </row>
    <row r="10" spans="1:29" ht="15" customHeight="1" x14ac:dyDescent="0.2">
      <c r="A10" s="115"/>
      <c r="B10" s="115"/>
      <c r="C10" s="116"/>
      <c r="D10" s="117"/>
      <c r="E10" s="118"/>
      <c r="F10" s="117"/>
      <c r="G10" s="116"/>
      <c r="H10" s="117"/>
      <c r="I10" s="116"/>
      <c r="J10" s="117"/>
      <c r="K10" s="116"/>
      <c r="L10" s="117"/>
      <c r="M10" s="116"/>
      <c r="N10" s="117"/>
      <c r="O10" s="116"/>
      <c r="P10" s="117"/>
      <c r="Q10" s="116"/>
      <c r="R10" s="117"/>
      <c r="S10" s="116"/>
      <c r="T10" s="117"/>
      <c r="U10" s="116"/>
      <c r="V10" s="117"/>
      <c r="W10" s="116"/>
      <c r="X10" s="117"/>
      <c r="Y10" s="116"/>
      <c r="Z10" s="117"/>
      <c r="AA10" s="119"/>
      <c r="AB10" s="116"/>
      <c r="AC10" s="1"/>
    </row>
    <row r="11" spans="1:29" ht="12.75" customHeight="1" x14ac:dyDescent="0.2">
      <c r="A11" s="16" t="s">
        <v>5</v>
      </c>
      <c r="B11" s="112"/>
      <c r="C11" s="17"/>
      <c r="D11" s="17"/>
      <c r="E11" s="18"/>
      <c r="F11" s="17"/>
      <c r="G11" s="18"/>
      <c r="H11" s="17"/>
      <c r="I11" s="18"/>
      <c r="J11" s="17"/>
      <c r="K11" s="18"/>
      <c r="L11" s="17"/>
      <c r="M11" s="18"/>
      <c r="N11" s="17"/>
      <c r="O11" s="18"/>
      <c r="P11" s="17"/>
      <c r="Q11" s="18"/>
      <c r="R11" s="17"/>
      <c r="S11" s="18"/>
      <c r="T11" s="17"/>
      <c r="U11" s="18"/>
      <c r="V11" s="17"/>
      <c r="W11" s="18"/>
      <c r="X11" s="17"/>
      <c r="Y11" s="18"/>
      <c r="Z11" s="17"/>
      <c r="AA11" s="18"/>
      <c r="AB11" s="17"/>
      <c r="AC11" s="6"/>
    </row>
    <row r="12" spans="1:29" ht="12.75" customHeight="1" x14ac:dyDescent="0.2">
      <c r="A12" s="19" t="s">
        <v>213</v>
      </c>
      <c r="B12" s="19"/>
      <c r="C12" s="100"/>
      <c r="D12" s="101">
        <f>Assumptions!D135*Assumptions!D156*Assumptions!D164</f>
        <v>10620</v>
      </c>
      <c r="E12" s="20"/>
      <c r="F12" s="101">
        <f>D12*Assumptions!$G$139</f>
        <v>11469.6</v>
      </c>
      <c r="G12" s="20"/>
      <c r="H12" s="101">
        <f>F12*Assumptions!$G$139</f>
        <v>12387.168000000001</v>
      </c>
      <c r="I12" s="20"/>
      <c r="J12" s="101">
        <f>H12*Assumptions!$G$139</f>
        <v>13378.141440000003</v>
      </c>
      <c r="K12" s="20"/>
      <c r="L12" s="101">
        <f>J12*Assumptions!$G$139</f>
        <v>14448.392755200004</v>
      </c>
      <c r="M12" s="20"/>
      <c r="N12" s="101">
        <f>L12*Assumptions!$G$139</f>
        <v>15604.264175616005</v>
      </c>
      <c r="O12" s="20"/>
      <c r="P12" s="101">
        <f>N12*Assumptions!$G$139</f>
        <v>16852.605309665287</v>
      </c>
      <c r="Q12" s="20"/>
      <c r="R12" s="101">
        <f>P12*Assumptions!$G$139</f>
        <v>18200.81373443851</v>
      </c>
      <c r="S12" s="20"/>
      <c r="T12" s="101">
        <f>R12*Assumptions!$G$139</f>
        <v>19656.878833193594</v>
      </c>
      <c r="U12" s="20"/>
      <c r="V12" s="101">
        <f>T12*Assumptions!$G$139</f>
        <v>21229.429139849082</v>
      </c>
      <c r="W12" s="20"/>
      <c r="X12" s="101">
        <f>V12*Assumptions!$G$139</f>
        <v>22927.783471037012</v>
      </c>
      <c r="Y12" s="20"/>
      <c r="Z12" s="101">
        <f>X12*Assumptions!$G$139</f>
        <v>24762.006148719975</v>
      </c>
      <c r="AA12" s="20"/>
      <c r="AB12" s="21">
        <f t="shared" ref="AB12:AB18" si="0">SUM(Z12,X12,V12,T12,R12,P12,N12,L12,J12,H12,F12,D12)</f>
        <v>201537.08300771948</v>
      </c>
      <c r="AC12" s="22"/>
    </row>
    <row r="13" spans="1:29" ht="12.75" customHeight="1" x14ac:dyDescent="0.2">
      <c r="A13" s="19" t="s">
        <v>214</v>
      </c>
      <c r="B13" s="19"/>
      <c r="C13" s="100"/>
      <c r="D13" s="101">
        <f>Assumptions!D135*Assumptions!D165*Assumptions!D156</f>
        <v>7080</v>
      </c>
      <c r="E13" s="20"/>
      <c r="F13" s="101">
        <f>D13*Assumptions!$G$139</f>
        <v>7646.4000000000005</v>
      </c>
      <c r="G13" s="20"/>
      <c r="H13" s="101">
        <f>F13*Assumptions!$G$139</f>
        <v>8258.112000000001</v>
      </c>
      <c r="I13" s="20"/>
      <c r="J13" s="101">
        <f>H13*Assumptions!$G$139</f>
        <v>8918.7609600000014</v>
      </c>
      <c r="K13" s="20"/>
      <c r="L13" s="101">
        <f>J13*Assumptions!$G$139</f>
        <v>9632.2618368000021</v>
      </c>
      <c r="M13" s="20"/>
      <c r="N13" s="101">
        <f>L13*Assumptions!$G$139</f>
        <v>10402.842783744003</v>
      </c>
      <c r="O13" s="20"/>
      <c r="P13" s="101">
        <f>N13*Assumptions!$G$139</f>
        <v>11235.070206443525</v>
      </c>
      <c r="Q13" s="20"/>
      <c r="R13" s="101">
        <f>P13*Assumptions!$G$139</f>
        <v>12133.875822959008</v>
      </c>
      <c r="S13" s="20"/>
      <c r="T13" s="101">
        <f>R13*Assumptions!$G$139</f>
        <v>13104.585888795729</v>
      </c>
      <c r="U13" s="20"/>
      <c r="V13" s="101">
        <f>T13*Assumptions!$G$139</f>
        <v>14152.952759899388</v>
      </c>
      <c r="W13" s="20"/>
      <c r="X13" s="101">
        <f>V13*Assumptions!$G$139</f>
        <v>15285.18898069134</v>
      </c>
      <c r="Y13" s="20"/>
      <c r="Z13" s="101">
        <f>X13*Assumptions!$G$139</f>
        <v>16508.004099146649</v>
      </c>
      <c r="AA13" s="20"/>
      <c r="AB13" s="21">
        <f t="shared" si="0"/>
        <v>134358.05533847964</v>
      </c>
      <c r="AC13" s="22"/>
    </row>
    <row r="14" spans="1:29" ht="12.75" customHeight="1" x14ac:dyDescent="0.2">
      <c r="A14" s="19" t="s">
        <v>218</v>
      </c>
      <c r="B14" s="19"/>
      <c r="C14" s="100"/>
      <c r="D14" s="101">
        <f>Assumptions!D166*Assumptions!D154*Assumptions!D135</f>
        <v>1416</v>
      </c>
      <c r="E14" s="20"/>
      <c r="F14" s="101">
        <f>D14*Assumptions!$G$139</f>
        <v>1529.2800000000002</v>
      </c>
      <c r="G14" s="20"/>
      <c r="H14" s="101">
        <f>F14*Assumptions!$G$139</f>
        <v>1651.6224000000004</v>
      </c>
      <c r="I14" s="20"/>
      <c r="J14" s="101">
        <f>H14*Assumptions!$G$139</f>
        <v>1783.7521920000006</v>
      </c>
      <c r="K14" s="20"/>
      <c r="L14" s="101">
        <f>J14*Assumptions!$G$139</f>
        <v>1926.4523673600008</v>
      </c>
      <c r="M14" s="20"/>
      <c r="N14" s="101">
        <f>L14*Assumptions!$G$139</f>
        <v>2080.5685567488013</v>
      </c>
      <c r="O14" s="20"/>
      <c r="P14" s="101">
        <f>N14*Assumptions!$G$139</f>
        <v>2247.0140412887054</v>
      </c>
      <c r="Q14" s="20"/>
      <c r="R14" s="101">
        <f>P14*Assumptions!$G$139</f>
        <v>2426.775164591802</v>
      </c>
      <c r="S14" s="20"/>
      <c r="T14" s="101">
        <f>R14*Assumptions!$G$139</f>
        <v>2620.9171777591464</v>
      </c>
      <c r="U14" s="20"/>
      <c r="V14" s="101">
        <f>T14*Assumptions!$G$139</f>
        <v>2830.5905519798785</v>
      </c>
      <c r="W14" s="20"/>
      <c r="X14" s="101">
        <f>V14*Assumptions!$G$139</f>
        <v>3057.0377961382687</v>
      </c>
      <c r="Y14" s="20"/>
      <c r="Z14" s="101">
        <f>X14*Assumptions!$G$139</f>
        <v>3301.6008198293302</v>
      </c>
      <c r="AA14" s="20"/>
      <c r="AB14" s="21">
        <f t="shared" si="0"/>
        <v>26871.611067695932</v>
      </c>
      <c r="AC14" s="22"/>
    </row>
    <row r="15" spans="1:29" ht="12.75" customHeight="1" x14ac:dyDescent="0.2">
      <c r="A15" s="19" t="s">
        <v>212</v>
      </c>
      <c r="B15" s="19"/>
      <c r="C15" s="100"/>
      <c r="D15" s="101">
        <f>Assumptions!D135*Assumptions!D153*Assumptions!D149*Assumptions!D167</f>
        <v>9558</v>
      </c>
      <c r="E15" s="20"/>
      <c r="F15" s="101">
        <f>D15*Assumptions!$G$139</f>
        <v>10322.640000000001</v>
      </c>
      <c r="G15" s="20"/>
      <c r="H15" s="101">
        <f>F15*Assumptions!$G$139</f>
        <v>11148.451200000001</v>
      </c>
      <c r="I15" s="20"/>
      <c r="J15" s="101">
        <f>H15*Assumptions!$G$139</f>
        <v>12040.327296000003</v>
      </c>
      <c r="K15" s="20"/>
      <c r="L15" s="101">
        <f>J15*Assumptions!$G$139</f>
        <v>13003.553479680004</v>
      </c>
      <c r="M15" s="20"/>
      <c r="N15" s="101">
        <f>L15*Assumptions!$G$139</f>
        <v>14043.837758054406</v>
      </c>
      <c r="O15" s="20"/>
      <c r="P15" s="101">
        <f>N15*Assumptions!$G$139</f>
        <v>15167.34477869876</v>
      </c>
      <c r="Q15" s="20"/>
      <c r="R15" s="101">
        <f>P15*Assumptions!$G$139</f>
        <v>16380.732360994662</v>
      </c>
      <c r="S15" s="20"/>
      <c r="T15" s="101">
        <f>R15*Assumptions!$G$139</f>
        <v>17691.190949874235</v>
      </c>
      <c r="U15" s="20"/>
      <c r="V15" s="101">
        <f>T15*Assumptions!$G$139</f>
        <v>19106.486225864177</v>
      </c>
      <c r="W15" s="20"/>
      <c r="X15" s="101">
        <f>V15*Assumptions!$G$139</f>
        <v>20635.005123933312</v>
      </c>
      <c r="Y15" s="20"/>
      <c r="Z15" s="101">
        <f>X15*Assumptions!$G$139</f>
        <v>22285.805533847979</v>
      </c>
      <c r="AA15" s="20"/>
      <c r="AB15" s="21">
        <f t="shared" si="0"/>
        <v>181383.37470694756</v>
      </c>
      <c r="AC15" s="22"/>
    </row>
    <row r="16" spans="1:29" ht="12.75" customHeight="1" x14ac:dyDescent="0.2">
      <c r="A16" s="19" t="s">
        <v>119</v>
      </c>
      <c r="B16" s="19"/>
      <c r="C16" s="100"/>
      <c r="D16" s="101">
        <f>Assumptions!D168*Assumptions!D153*Assumptions!D135*Assumptions!D150</f>
        <v>3186</v>
      </c>
      <c r="E16" s="20"/>
      <c r="F16" s="101">
        <f>D16*Assumptions!$G$139</f>
        <v>3440.88</v>
      </c>
      <c r="G16" s="20"/>
      <c r="H16" s="101">
        <f>F16*Assumptions!$G$139</f>
        <v>3716.1504000000004</v>
      </c>
      <c r="I16" s="20"/>
      <c r="J16" s="101">
        <f>H16*Assumptions!$G$139</f>
        <v>4013.4424320000007</v>
      </c>
      <c r="K16" s="20"/>
      <c r="L16" s="101">
        <f>J16*Assumptions!$G$139</f>
        <v>4334.5178265600007</v>
      </c>
      <c r="M16" s="20"/>
      <c r="N16" s="101">
        <f>L16*Assumptions!$G$139</f>
        <v>4681.2792526848007</v>
      </c>
      <c r="O16" s="20"/>
      <c r="P16" s="101">
        <f>N16*Assumptions!$G$139</f>
        <v>5055.7815928995851</v>
      </c>
      <c r="Q16" s="20"/>
      <c r="R16" s="101">
        <f>P16*Assumptions!$G$139</f>
        <v>5460.244120331552</v>
      </c>
      <c r="S16" s="20"/>
      <c r="T16" s="101">
        <f>R16*Assumptions!$G$139</f>
        <v>5897.0636499580769</v>
      </c>
      <c r="U16" s="20"/>
      <c r="V16" s="101">
        <f>T16*Assumptions!$G$139</f>
        <v>6368.8287419547232</v>
      </c>
      <c r="W16" s="20"/>
      <c r="X16" s="101">
        <f>V16*Assumptions!$G$139</f>
        <v>6878.3350413111011</v>
      </c>
      <c r="Y16" s="20"/>
      <c r="Z16" s="101">
        <f>X16*Assumptions!$G$139</f>
        <v>7428.6018446159896</v>
      </c>
      <c r="AA16" s="20"/>
      <c r="AB16" s="21">
        <f t="shared" si="0"/>
        <v>60461.124902315831</v>
      </c>
      <c r="AC16" s="22"/>
    </row>
    <row r="17" spans="1:29" ht="12.75" customHeight="1" x14ac:dyDescent="0.2">
      <c r="A17" s="19" t="s">
        <v>226</v>
      </c>
      <c r="B17" s="19"/>
      <c r="C17" s="100"/>
      <c r="D17" s="101">
        <f>Assumptions!D135*Assumptions!D155*Assumptions!D169</f>
        <v>1416</v>
      </c>
      <c r="E17" s="20"/>
      <c r="F17" s="101">
        <f>D17*Assumptions!$G$139</f>
        <v>1529.2800000000002</v>
      </c>
      <c r="G17" s="20"/>
      <c r="H17" s="101">
        <f>F17*Assumptions!$G$139</f>
        <v>1651.6224000000004</v>
      </c>
      <c r="I17" s="20"/>
      <c r="J17" s="101">
        <f>H17*Assumptions!$G$139</f>
        <v>1783.7521920000006</v>
      </c>
      <c r="K17" s="20"/>
      <c r="L17" s="101">
        <f>J17*Assumptions!$G$139</f>
        <v>1926.4523673600008</v>
      </c>
      <c r="M17" s="20"/>
      <c r="N17" s="101">
        <f>L17*Assumptions!$G$139</f>
        <v>2080.5685567488013</v>
      </c>
      <c r="O17" s="20"/>
      <c r="P17" s="101">
        <f>N17*Assumptions!$G$139</f>
        <v>2247.0140412887054</v>
      </c>
      <c r="Q17" s="20"/>
      <c r="R17" s="101">
        <f>P17*Assumptions!$G$139</f>
        <v>2426.775164591802</v>
      </c>
      <c r="S17" s="20"/>
      <c r="T17" s="101">
        <f>R17*Assumptions!$G$139</f>
        <v>2620.9171777591464</v>
      </c>
      <c r="U17" s="20"/>
      <c r="V17" s="101">
        <f>T17*Assumptions!$G$139</f>
        <v>2830.5905519798785</v>
      </c>
      <c r="W17" s="20"/>
      <c r="X17" s="101">
        <f>V17*Assumptions!$G$139</f>
        <v>3057.0377961382687</v>
      </c>
      <c r="Y17" s="20"/>
      <c r="Z17" s="101">
        <f>X17*Assumptions!$G$139</f>
        <v>3301.6008198293302</v>
      </c>
      <c r="AA17" s="20"/>
      <c r="AB17" s="21">
        <f t="shared" si="0"/>
        <v>26871.611067695932</v>
      </c>
      <c r="AC17" s="22"/>
    </row>
    <row r="18" spans="1:29" ht="12.75" customHeight="1" x14ac:dyDescent="0.2">
      <c r="A18" s="19" t="s">
        <v>227</v>
      </c>
      <c r="B18" s="19"/>
      <c r="C18" s="100"/>
      <c r="D18" s="101">
        <f>Assumptions!D135*Assumptions!D158*Assumptions!D159</f>
        <v>708</v>
      </c>
      <c r="E18" s="20"/>
      <c r="F18" s="101">
        <f>D18*Assumptions!$G$139</f>
        <v>764.6400000000001</v>
      </c>
      <c r="G18" s="20"/>
      <c r="H18" s="101">
        <f>F18*Assumptions!$G$139</f>
        <v>825.81120000000021</v>
      </c>
      <c r="I18" s="20"/>
      <c r="J18" s="101">
        <f>H18*Assumptions!$G$139</f>
        <v>891.8760960000003</v>
      </c>
      <c r="K18" s="20"/>
      <c r="L18" s="101">
        <f>J18*Assumptions!$G$139</f>
        <v>963.22618368000042</v>
      </c>
      <c r="M18" s="20"/>
      <c r="N18" s="101">
        <f>L18*Assumptions!$G$139</f>
        <v>1040.2842783744006</v>
      </c>
      <c r="O18" s="20"/>
      <c r="P18" s="101">
        <f>N18*Assumptions!$G$139</f>
        <v>1123.5070206443527</v>
      </c>
      <c r="Q18" s="20"/>
      <c r="R18" s="101">
        <f>P18*Assumptions!$G$139</f>
        <v>1213.387582295901</v>
      </c>
      <c r="S18" s="20"/>
      <c r="T18" s="101">
        <f>R18*Assumptions!$G$139</f>
        <v>1310.4585888795732</v>
      </c>
      <c r="U18" s="20"/>
      <c r="V18" s="101">
        <f>T18*Assumptions!$G$139</f>
        <v>1415.2952759899392</v>
      </c>
      <c r="W18" s="20"/>
      <c r="X18" s="101">
        <f>V18*Assumptions!$G$139</f>
        <v>1528.5188980691344</v>
      </c>
      <c r="Y18" s="20"/>
      <c r="Z18" s="101">
        <f>X18*Assumptions!$G$139</f>
        <v>1650.8004099146651</v>
      </c>
      <c r="AA18" s="20"/>
      <c r="AB18" s="21">
        <f t="shared" si="0"/>
        <v>13435.805533847966</v>
      </c>
      <c r="AC18" s="22"/>
    </row>
    <row r="19" spans="1:29" ht="12.75" customHeight="1" x14ac:dyDescent="0.2">
      <c r="A19" s="23" t="s">
        <v>6</v>
      </c>
      <c r="B19" s="23"/>
      <c r="C19" s="24"/>
      <c r="D19" s="25">
        <f t="shared" ref="D19:AB19" si="1">SUM(D12:D18)</f>
        <v>33984</v>
      </c>
      <c r="E19" s="26"/>
      <c r="F19" s="25">
        <f t="shared" si="1"/>
        <v>36702.719999999994</v>
      </c>
      <c r="G19" s="26"/>
      <c r="H19" s="25">
        <f t="shared" si="1"/>
        <v>39638.937600000005</v>
      </c>
      <c r="I19" s="26"/>
      <c r="J19" s="25">
        <f t="shared" si="1"/>
        <v>42810.052608000013</v>
      </c>
      <c r="K19" s="26"/>
      <c r="L19" s="25">
        <f t="shared" si="1"/>
        <v>46234.856816640015</v>
      </c>
      <c r="M19" s="26"/>
      <c r="N19" s="25">
        <f t="shared" si="1"/>
        <v>49933.645361971212</v>
      </c>
      <c r="O19" s="26"/>
      <c r="P19" s="25">
        <f t="shared" si="1"/>
        <v>53928.336990928918</v>
      </c>
      <c r="Q19" s="26"/>
      <c r="R19" s="25">
        <f t="shared" si="1"/>
        <v>58242.603950203244</v>
      </c>
      <c r="S19" s="26"/>
      <c r="T19" s="25">
        <f t="shared" si="1"/>
        <v>62902.012266219506</v>
      </c>
      <c r="U19" s="26"/>
      <c r="V19" s="25">
        <f t="shared" si="1"/>
        <v>67934.173247517072</v>
      </c>
      <c r="W19" s="26"/>
      <c r="X19" s="25">
        <f t="shared" si="1"/>
        <v>73368.907107318431</v>
      </c>
      <c r="Y19" s="26"/>
      <c r="Z19" s="25">
        <f t="shared" si="1"/>
        <v>79238.419675903904</v>
      </c>
      <c r="AA19" s="26"/>
      <c r="AB19" s="25">
        <f t="shared" si="1"/>
        <v>644918.66562470235</v>
      </c>
      <c r="AC19" s="27"/>
    </row>
    <row r="20" spans="1:29" ht="12.75" customHeight="1" x14ac:dyDescent="0.2">
      <c r="A20" s="107" t="s">
        <v>242</v>
      </c>
      <c r="B20" s="113"/>
      <c r="C20" s="139"/>
      <c r="D20" s="108">
        <f>(D$15*0.83)+(D$16*0.83)</f>
        <v>10577.519999999999</v>
      </c>
      <c r="E20" s="109"/>
      <c r="F20" s="108">
        <f>(F$15*0.83)+(F$16*0.83)+(D20*0.83)</f>
        <v>20203.063199999997</v>
      </c>
      <c r="G20" s="109"/>
      <c r="H20" s="108">
        <f>(H$15*0.83)+(H$16*0.83)+(F20*0.83)</f>
        <v>29106.161783999996</v>
      </c>
      <c r="I20" s="109"/>
      <c r="J20" s="108">
        <f>(J$15*0.83)+(J$16*0.83)+(H20*0.83)</f>
        <v>37482.743154959993</v>
      </c>
      <c r="K20" s="109"/>
      <c r="L20" s="108">
        <f>(L$15*0.83)+(L$16*0.83)+(J20*0.83)</f>
        <v>45501.276002795996</v>
      </c>
      <c r="M20" s="109"/>
      <c r="N20" s="108">
        <f>(N$15*0.83)+(N$16*0.83)+(L20*0.83)</f>
        <v>53307.906201234211</v>
      </c>
      <c r="O20" s="109"/>
      <c r="P20" s="108">
        <f>(P$15*0.83)+(P$16*0.83)+(N20*0.83)</f>
        <v>61030.757035451017</v>
      </c>
      <c r="Q20" s="109"/>
      <c r="R20" s="108">
        <f>(R$15*0.83)+(R$16*0.83)+(P20*0.83)</f>
        <v>68783.538818925095</v>
      </c>
      <c r="S20" s="109"/>
      <c r="T20" s="108">
        <f>(T$15*0.83)+(T$16*0.83)+(R20*0.83)</f>
        <v>76668.588537568648</v>
      </c>
      <c r="U20" s="109"/>
      <c r="V20" s="108">
        <f>(V$15*0.83)+(V$16*0.83)+(T20*0.83)</f>
        <v>84779.439909471665</v>
      </c>
      <c r="W20" s="109"/>
      <c r="X20" s="108">
        <f>(X$15*0.83)+(X$16*0.83)+(V20*0.83)</f>
        <v>93203.007462014342</v>
      </c>
      <c r="Y20" s="109"/>
      <c r="Z20" s="108">
        <f>(Z$15*0.83)+(Z$16*0.83)+(X20*0.83)</f>
        <v>102021.454317597</v>
      </c>
      <c r="AA20" s="109"/>
      <c r="AB20" s="108"/>
      <c r="AC20" s="110"/>
    </row>
    <row r="21" spans="1:29" ht="12.75" customHeight="1" x14ac:dyDescent="0.2">
      <c r="A21" s="107"/>
      <c r="B21" s="112" t="s">
        <v>256</v>
      </c>
      <c r="C21" s="139"/>
      <c r="D21" s="108"/>
      <c r="E21" s="109"/>
      <c r="F21" s="108"/>
      <c r="G21" s="109"/>
      <c r="H21" s="108"/>
      <c r="I21" s="109"/>
      <c r="J21" s="108"/>
      <c r="K21" s="109"/>
      <c r="L21" s="108"/>
      <c r="M21" s="109"/>
      <c r="N21" s="108"/>
      <c r="O21" s="109"/>
      <c r="P21" s="108"/>
      <c r="Q21" s="109"/>
      <c r="R21" s="108"/>
      <c r="S21" s="109"/>
      <c r="T21" s="108"/>
      <c r="U21" s="109"/>
      <c r="V21" s="108"/>
      <c r="W21" s="109"/>
      <c r="X21" s="108"/>
      <c r="Y21" s="109"/>
      <c r="Z21" s="108"/>
      <c r="AA21" s="109"/>
      <c r="AB21" s="108"/>
      <c r="AC21" s="110"/>
    </row>
    <row r="22" spans="1:29" ht="12.75" customHeight="1" x14ac:dyDescent="0.2">
      <c r="A22" s="16" t="s">
        <v>7</v>
      </c>
      <c r="B22" s="112"/>
      <c r="C22" s="30"/>
      <c r="D22" s="17"/>
      <c r="E22" s="29"/>
      <c r="F22" s="17"/>
      <c r="G22" s="29"/>
      <c r="H22" s="17"/>
      <c r="I22" s="29"/>
      <c r="J22" s="17"/>
      <c r="K22" s="29"/>
      <c r="L22" s="17"/>
      <c r="M22" s="29"/>
      <c r="N22" s="17"/>
      <c r="O22" s="29"/>
      <c r="P22" s="17"/>
      <c r="Q22" s="29"/>
      <c r="R22" s="17"/>
      <c r="S22" s="29"/>
      <c r="T22" s="17"/>
      <c r="U22" s="29"/>
      <c r="V22" s="17"/>
      <c r="W22" s="29"/>
      <c r="X22" s="17"/>
      <c r="Y22" s="29"/>
      <c r="Z22" s="17"/>
      <c r="AA22" s="29"/>
      <c r="AB22" s="17"/>
      <c r="AC22" s="6"/>
    </row>
    <row r="23" spans="1:29" ht="12.75" customHeight="1" x14ac:dyDescent="0.2">
      <c r="A23" s="19" t="s">
        <v>213</v>
      </c>
      <c r="B23" s="19"/>
      <c r="C23" s="100"/>
      <c r="D23" s="101">
        <f>D12*Assumptions!D126</f>
        <v>5310</v>
      </c>
      <c r="E23" s="20"/>
      <c r="F23" s="101">
        <f>D23*Assumptions!$G$139</f>
        <v>5734.8</v>
      </c>
      <c r="G23" s="20"/>
      <c r="H23" s="101">
        <f>F23*Assumptions!$G$139</f>
        <v>6193.5840000000007</v>
      </c>
      <c r="I23" s="20"/>
      <c r="J23" s="101">
        <f>H23*Assumptions!$G$139</f>
        <v>6689.0707200000015</v>
      </c>
      <c r="K23" s="20"/>
      <c r="L23" s="101">
        <f>J23*Assumptions!$G$139</f>
        <v>7224.1963776000021</v>
      </c>
      <c r="M23" s="20"/>
      <c r="N23" s="101">
        <f>L23*Assumptions!$G$139</f>
        <v>7802.1320878080023</v>
      </c>
      <c r="O23" s="20"/>
      <c r="P23" s="101">
        <f>N23*Assumptions!$G$139</f>
        <v>8426.3026548326434</v>
      </c>
      <c r="Q23" s="20"/>
      <c r="R23" s="101">
        <f>P23*Assumptions!$G$139</f>
        <v>9100.4068672192552</v>
      </c>
      <c r="S23" s="20"/>
      <c r="T23" s="101">
        <f>R23*Assumptions!$G$139</f>
        <v>9828.4394165967969</v>
      </c>
      <c r="U23" s="20"/>
      <c r="V23" s="101">
        <f>T23*Assumptions!$G$139</f>
        <v>10614.714569924541</v>
      </c>
      <c r="W23" s="20"/>
      <c r="X23" s="101">
        <f>V23*Assumptions!$G$139</f>
        <v>11463.891735518506</v>
      </c>
      <c r="Y23" s="20"/>
      <c r="Z23" s="101">
        <f>X23*Assumptions!$G$139</f>
        <v>12381.003074359987</v>
      </c>
      <c r="AA23" s="20"/>
      <c r="AB23" s="21">
        <f t="shared" ref="AB23:AB29" si="2">SUM(Z23,X23,V23,T23,R23,P23,N23,L23,J23,H23,F23,D23)</f>
        <v>100768.54150385974</v>
      </c>
      <c r="AC23" s="22"/>
    </row>
    <row r="24" spans="1:29" ht="12.75" customHeight="1" x14ac:dyDescent="0.2">
      <c r="A24" s="19" t="s">
        <v>214</v>
      </c>
      <c r="B24" s="19"/>
      <c r="C24" s="100"/>
      <c r="D24" s="101">
        <f>Assumptions!D126*D13</f>
        <v>3540</v>
      </c>
      <c r="E24" s="20"/>
      <c r="F24" s="101">
        <f>D24*Assumptions!$G$139</f>
        <v>3823.2000000000003</v>
      </c>
      <c r="G24" s="20"/>
      <c r="H24" s="101">
        <f>F24*Assumptions!$G$139</f>
        <v>4129.0560000000005</v>
      </c>
      <c r="I24" s="20"/>
      <c r="J24" s="101">
        <f>H24*Assumptions!$G$139</f>
        <v>4459.3804800000007</v>
      </c>
      <c r="K24" s="20"/>
      <c r="L24" s="101">
        <f>J24*Assumptions!$G$139</f>
        <v>4816.1309184000011</v>
      </c>
      <c r="M24" s="20"/>
      <c r="N24" s="101">
        <f>L24*Assumptions!$G$139</f>
        <v>5201.4213918720015</v>
      </c>
      <c r="O24" s="20"/>
      <c r="P24" s="101">
        <f>N24*Assumptions!$G$139</f>
        <v>5617.5351032217623</v>
      </c>
      <c r="Q24" s="20"/>
      <c r="R24" s="101">
        <f>P24*Assumptions!$G$139</f>
        <v>6066.9379114795038</v>
      </c>
      <c r="S24" s="20"/>
      <c r="T24" s="101">
        <f>R24*Assumptions!$G$139</f>
        <v>6552.2929443978646</v>
      </c>
      <c r="U24" s="20"/>
      <c r="V24" s="101">
        <f>T24*Assumptions!$G$139</f>
        <v>7076.4763799496941</v>
      </c>
      <c r="W24" s="20"/>
      <c r="X24" s="101">
        <f>V24*Assumptions!$G$139</f>
        <v>7642.5944903456702</v>
      </c>
      <c r="Y24" s="20"/>
      <c r="Z24" s="101">
        <f>X24*Assumptions!$G$139</f>
        <v>8254.0020495733243</v>
      </c>
      <c r="AA24" s="20"/>
      <c r="AB24" s="21">
        <f t="shared" si="2"/>
        <v>67179.027669239818</v>
      </c>
      <c r="AC24" s="22"/>
    </row>
    <row r="25" spans="1:29" ht="12.75" customHeight="1" x14ac:dyDescent="0.2">
      <c r="A25" s="19" t="s">
        <v>218</v>
      </c>
      <c r="B25" s="19"/>
      <c r="C25" s="100"/>
      <c r="D25" s="101">
        <f>Assumptions!D127*D14</f>
        <v>28.32</v>
      </c>
      <c r="E25" s="20"/>
      <c r="F25" s="101">
        <f>D25*Assumptions!$G$139</f>
        <v>30.585600000000003</v>
      </c>
      <c r="G25" s="20"/>
      <c r="H25" s="101">
        <f>F25*Assumptions!$G$139</f>
        <v>33.032448000000002</v>
      </c>
      <c r="I25" s="20"/>
      <c r="J25" s="101">
        <f>H25*Assumptions!$G$139</f>
        <v>35.675043840000008</v>
      </c>
      <c r="K25" s="20"/>
      <c r="L25" s="101">
        <f>J25*Assumptions!$G$139</f>
        <v>38.529047347200013</v>
      </c>
      <c r="M25" s="20"/>
      <c r="N25" s="101">
        <f>L25*Assumptions!$G$139</f>
        <v>41.611371134976018</v>
      </c>
      <c r="O25" s="20"/>
      <c r="P25" s="101">
        <f>N25*Assumptions!$G$139</f>
        <v>44.940280825774103</v>
      </c>
      <c r="Q25" s="20"/>
      <c r="R25" s="101">
        <f>P25*Assumptions!$G$139</f>
        <v>48.535503291836037</v>
      </c>
      <c r="S25" s="20"/>
      <c r="T25" s="101">
        <f>R25*Assumptions!$G$139</f>
        <v>52.418343555182922</v>
      </c>
      <c r="U25" s="20"/>
      <c r="V25" s="101">
        <f>T25*Assumptions!$G$139</f>
        <v>56.611811039597562</v>
      </c>
      <c r="W25" s="20"/>
      <c r="X25" s="101">
        <f>V25*Assumptions!$G$139</f>
        <v>61.140755922765372</v>
      </c>
      <c r="Y25" s="20"/>
      <c r="Z25" s="101">
        <f>X25*Assumptions!$G$139</f>
        <v>66.032016396586613</v>
      </c>
      <c r="AA25" s="20"/>
      <c r="AB25" s="21">
        <f t="shared" si="2"/>
        <v>537.43222135391864</v>
      </c>
      <c r="AC25" s="22"/>
    </row>
    <row r="26" spans="1:29" ht="12.75" customHeight="1" x14ac:dyDescent="0.2">
      <c r="A26" s="19" t="s">
        <v>212</v>
      </c>
      <c r="B26" s="19"/>
      <c r="C26" s="100"/>
      <c r="D26" s="101">
        <f>Assumptions!D128*D15</f>
        <v>191.16</v>
      </c>
      <c r="E26" s="20"/>
      <c r="F26" s="101">
        <f>D26*Assumptions!$G$139</f>
        <v>206.4528</v>
      </c>
      <c r="G26" s="20"/>
      <c r="H26" s="101">
        <f>F26*Assumptions!$G$139</f>
        <v>222.96902400000002</v>
      </c>
      <c r="I26" s="20"/>
      <c r="J26" s="101">
        <f>H26*Assumptions!$G$139</f>
        <v>240.80654592000005</v>
      </c>
      <c r="K26" s="20"/>
      <c r="L26" s="101">
        <f>J26*Assumptions!$G$139</f>
        <v>260.07106959360004</v>
      </c>
      <c r="M26" s="20"/>
      <c r="N26" s="101">
        <f>L26*Assumptions!$G$139</f>
        <v>280.87675516108806</v>
      </c>
      <c r="O26" s="20"/>
      <c r="P26" s="101">
        <f>N26*Assumptions!$G$139</f>
        <v>303.34689557397513</v>
      </c>
      <c r="Q26" s="20"/>
      <c r="R26" s="101">
        <f>P26*Assumptions!$G$139</f>
        <v>327.61464721989319</v>
      </c>
      <c r="S26" s="20"/>
      <c r="T26" s="101">
        <f>R26*Assumptions!$G$139</f>
        <v>353.82381899748464</v>
      </c>
      <c r="U26" s="20"/>
      <c r="V26" s="101">
        <f>T26*Assumptions!$G$139</f>
        <v>382.12972451728342</v>
      </c>
      <c r="W26" s="20"/>
      <c r="X26" s="101">
        <f>V26*Assumptions!$G$139</f>
        <v>412.70010247866611</v>
      </c>
      <c r="Y26" s="20"/>
      <c r="Z26" s="101">
        <f>X26*Assumptions!$G$139</f>
        <v>445.71611067695943</v>
      </c>
      <c r="AA26" s="20"/>
      <c r="AB26" s="21">
        <f t="shared" si="2"/>
        <v>3627.6674941389501</v>
      </c>
      <c r="AC26" s="22"/>
    </row>
    <row r="27" spans="1:29" ht="12.75" customHeight="1" x14ac:dyDescent="0.2">
      <c r="A27" s="19" t="s">
        <v>119</v>
      </c>
      <c r="B27" s="19"/>
      <c r="C27" s="100"/>
      <c r="D27" s="101">
        <f>Assumptions!D128*D16</f>
        <v>63.72</v>
      </c>
      <c r="E27" s="20"/>
      <c r="F27" s="101">
        <f>D27*Assumptions!$G$139</f>
        <v>68.817599999999999</v>
      </c>
      <c r="G27" s="20"/>
      <c r="H27" s="101">
        <f>F27*Assumptions!$G$139</f>
        <v>74.323008000000002</v>
      </c>
      <c r="I27" s="20"/>
      <c r="J27" s="101">
        <f>H27*Assumptions!$G$139</f>
        <v>80.268848640000002</v>
      </c>
      <c r="K27" s="20"/>
      <c r="L27" s="101">
        <f>J27*Assumptions!$G$139</f>
        <v>86.69035653120001</v>
      </c>
      <c r="M27" s="20"/>
      <c r="N27" s="101">
        <f>L27*Assumptions!$G$139</f>
        <v>93.625585053696014</v>
      </c>
      <c r="O27" s="20"/>
      <c r="P27" s="101">
        <f>N27*Assumptions!$G$139</f>
        <v>101.1156318579917</v>
      </c>
      <c r="Q27" s="20"/>
      <c r="R27" s="101">
        <f>P27*Assumptions!$G$139</f>
        <v>109.20488240663104</v>
      </c>
      <c r="S27" s="20"/>
      <c r="T27" s="101">
        <f>R27*Assumptions!$G$139</f>
        <v>117.94127299916154</v>
      </c>
      <c r="U27" s="20"/>
      <c r="V27" s="101">
        <f>T27*Assumptions!$G$139</f>
        <v>127.37657483909447</v>
      </c>
      <c r="W27" s="20"/>
      <c r="X27" s="101">
        <f>V27*Assumptions!$G$139</f>
        <v>137.56670082622205</v>
      </c>
      <c r="Y27" s="20"/>
      <c r="Z27" s="101">
        <f>X27*Assumptions!$G$139</f>
        <v>148.57203689231983</v>
      </c>
      <c r="AA27" s="20"/>
      <c r="AB27" s="21">
        <f t="shared" si="2"/>
        <v>1209.2224980463168</v>
      </c>
      <c r="AC27" s="22"/>
    </row>
    <row r="28" spans="1:29" ht="12.75" customHeight="1" x14ac:dyDescent="0.2">
      <c r="A28" s="19" t="s">
        <v>226</v>
      </c>
      <c r="B28" s="19"/>
      <c r="C28" s="100"/>
      <c r="D28" s="101">
        <f>Assumptions!D129*D17</f>
        <v>70.8</v>
      </c>
      <c r="E28" s="20"/>
      <c r="F28" s="101">
        <f>D28*Assumptions!$G$139</f>
        <v>76.463999999999999</v>
      </c>
      <c r="G28" s="20"/>
      <c r="H28" s="101">
        <f>F28*Assumptions!$G$139</f>
        <v>82.581119999999999</v>
      </c>
      <c r="I28" s="20"/>
      <c r="J28" s="101">
        <f>H28*Assumptions!$G$139</f>
        <v>89.187609600000002</v>
      </c>
      <c r="K28" s="20"/>
      <c r="L28" s="101">
        <f>J28*Assumptions!$G$139</f>
        <v>96.322618368000008</v>
      </c>
      <c r="M28" s="20"/>
      <c r="N28" s="101">
        <f>L28*Assumptions!$G$139</f>
        <v>104.02842783744002</v>
      </c>
      <c r="O28" s="20"/>
      <c r="P28" s="101">
        <f>N28*Assumptions!$G$139</f>
        <v>112.35070206443523</v>
      </c>
      <c r="Q28" s="20"/>
      <c r="R28" s="101">
        <f>P28*Assumptions!$G$139</f>
        <v>121.33875822959006</v>
      </c>
      <c r="S28" s="20"/>
      <c r="T28" s="101">
        <f>R28*Assumptions!$G$139</f>
        <v>131.04585888795728</v>
      </c>
      <c r="U28" s="20"/>
      <c r="V28" s="101">
        <f>T28*Assumptions!$G$139</f>
        <v>141.52952759899387</v>
      </c>
      <c r="W28" s="20"/>
      <c r="X28" s="101">
        <f>V28*Assumptions!$G$139</f>
        <v>152.85188980691339</v>
      </c>
      <c r="Y28" s="20"/>
      <c r="Z28" s="101">
        <f>X28*Assumptions!$G$139</f>
        <v>165.08004099146646</v>
      </c>
      <c r="AA28" s="20"/>
      <c r="AB28" s="21">
        <f t="shared" si="2"/>
        <v>1343.5805533847965</v>
      </c>
      <c r="AC28" s="22"/>
    </row>
    <row r="29" spans="1:29" ht="12.75" customHeight="1" x14ac:dyDescent="0.2">
      <c r="A29" s="19" t="s">
        <v>227</v>
      </c>
      <c r="B29" s="19"/>
      <c r="C29" s="100"/>
      <c r="D29" s="101">
        <f>Assumptions!D130*D18</f>
        <v>354</v>
      </c>
      <c r="E29" s="20"/>
      <c r="F29" s="101">
        <f>D29*Assumptions!$G$139</f>
        <v>382.32000000000005</v>
      </c>
      <c r="G29" s="20"/>
      <c r="H29" s="101">
        <f>F29*Assumptions!$G$139</f>
        <v>412.90560000000011</v>
      </c>
      <c r="I29" s="20"/>
      <c r="J29" s="101">
        <f>H29*Assumptions!$G$139</f>
        <v>445.93804800000015</v>
      </c>
      <c r="K29" s="20"/>
      <c r="L29" s="101">
        <f>J29*Assumptions!$G$139</f>
        <v>481.61309184000021</v>
      </c>
      <c r="M29" s="20"/>
      <c r="N29" s="101">
        <f>L29*Assumptions!$G$139</f>
        <v>520.14213918720031</v>
      </c>
      <c r="O29" s="20"/>
      <c r="P29" s="101">
        <f>N29*Assumptions!$G$139</f>
        <v>561.75351032217634</v>
      </c>
      <c r="Q29" s="20"/>
      <c r="R29" s="101">
        <f>P29*Assumptions!$G$139</f>
        <v>606.69379114795049</v>
      </c>
      <c r="S29" s="20"/>
      <c r="T29" s="101">
        <f>R29*Assumptions!$G$139</f>
        <v>655.2292944397866</v>
      </c>
      <c r="U29" s="20"/>
      <c r="V29" s="101">
        <f>T29*Assumptions!$G$139</f>
        <v>707.64763799496961</v>
      </c>
      <c r="W29" s="20"/>
      <c r="X29" s="101">
        <f>V29*Assumptions!$G$139</f>
        <v>764.25944903456718</v>
      </c>
      <c r="Y29" s="20"/>
      <c r="Z29" s="101">
        <f>X29*Assumptions!$G$139</f>
        <v>825.40020495733256</v>
      </c>
      <c r="AA29" s="20"/>
      <c r="AB29" s="21">
        <f t="shared" si="2"/>
        <v>6717.9027669239831</v>
      </c>
      <c r="AC29" s="22"/>
    </row>
    <row r="30" spans="1:29" ht="12.75" customHeight="1" x14ac:dyDescent="0.2">
      <c r="A30" s="23" t="s">
        <v>8</v>
      </c>
      <c r="B30" s="23"/>
      <c r="C30" s="31"/>
      <c r="D30" s="25">
        <f t="shared" ref="D30:AB30" si="3">SUM(D23:D29)</f>
        <v>9557.9999999999982</v>
      </c>
      <c r="E30" s="26"/>
      <c r="F30" s="25">
        <f t="shared" si="3"/>
        <v>10322.64</v>
      </c>
      <c r="G30" s="26"/>
      <c r="H30" s="25">
        <f t="shared" si="3"/>
        <v>11148.451200000001</v>
      </c>
      <c r="I30" s="26"/>
      <c r="J30" s="25">
        <f t="shared" si="3"/>
        <v>12040.327296000003</v>
      </c>
      <c r="K30" s="26"/>
      <c r="L30" s="25">
        <f t="shared" si="3"/>
        <v>13003.553479680002</v>
      </c>
      <c r="M30" s="26"/>
      <c r="N30" s="25">
        <f t="shared" si="3"/>
        <v>14043.837758054404</v>
      </c>
      <c r="O30" s="26"/>
      <c r="P30" s="25">
        <f t="shared" si="3"/>
        <v>15167.34477869876</v>
      </c>
      <c r="Q30" s="26"/>
      <c r="R30" s="25">
        <f t="shared" si="3"/>
        <v>16380.732360994662</v>
      </c>
      <c r="S30" s="26"/>
      <c r="T30" s="25">
        <f t="shared" si="3"/>
        <v>17691.190949874228</v>
      </c>
      <c r="U30" s="26"/>
      <c r="V30" s="25">
        <f t="shared" si="3"/>
        <v>19106.486225864177</v>
      </c>
      <c r="W30" s="26"/>
      <c r="X30" s="25">
        <f t="shared" si="3"/>
        <v>20635.005123933308</v>
      </c>
      <c r="Y30" s="26"/>
      <c r="Z30" s="25">
        <f t="shared" si="3"/>
        <v>22285.805533847979</v>
      </c>
      <c r="AA30" s="26"/>
      <c r="AB30" s="25">
        <f t="shared" si="3"/>
        <v>181383.37470694754</v>
      </c>
      <c r="AC30" s="22"/>
    </row>
    <row r="31" spans="1:29" ht="12.75" customHeight="1" x14ac:dyDescent="0.2">
      <c r="A31" s="28"/>
      <c r="B31" s="114"/>
      <c r="C31" s="17"/>
      <c r="D31" s="17"/>
      <c r="E31" s="29"/>
      <c r="F31" s="17"/>
      <c r="G31" s="29"/>
      <c r="H31" s="17"/>
      <c r="I31" s="29"/>
      <c r="J31" s="17"/>
      <c r="K31" s="29"/>
      <c r="L31" s="17"/>
      <c r="M31" s="29"/>
      <c r="N31" s="17"/>
      <c r="O31" s="29"/>
      <c r="P31" s="17"/>
      <c r="Q31" s="29"/>
      <c r="R31" s="17"/>
      <c r="S31" s="29"/>
      <c r="T31" s="17"/>
      <c r="U31" s="29"/>
      <c r="V31" s="17"/>
      <c r="W31" s="29"/>
      <c r="X31" s="17"/>
      <c r="Y31" s="29"/>
      <c r="Z31" s="17"/>
      <c r="AA31" s="29"/>
      <c r="AB31" s="17"/>
      <c r="AC31" s="6"/>
    </row>
    <row r="32" spans="1:29" ht="12.75" customHeight="1" x14ac:dyDescent="0.2">
      <c r="A32" s="23" t="s">
        <v>9</v>
      </c>
      <c r="B32" s="23"/>
      <c r="C32" s="100"/>
      <c r="D32" s="25">
        <f>D19-D30</f>
        <v>24426</v>
      </c>
      <c r="E32" s="26"/>
      <c r="F32" s="25">
        <f>F19-F30</f>
        <v>26380.079999999994</v>
      </c>
      <c r="G32" s="26"/>
      <c r="H32" s="25">
        <f>H19-H30</f>
        <v>28490.486400000002</v>
      </c>
      <c r="I32" s="26"/>
      <c r="J32" s="25">
        <f>J19-J30</f>
        <v>30769.72531200001</v>
      </c>
      <c r="K32" s="26"/>
      <c r="L32" s="25">
        <f>L19-L30</f>
        <v>33231.303336960016</v>
      </c>
      <c r="M32" s="26"/>
      <c r="N32" s="25">
        <f>N19-N30</f>
        <v>35889.807603916808</v>
      </c>
      <c r="O32" s="26"/>
      <c r="P32" s="25">
        <f>P19-P30</f>
        <v>38760.992212230158</v>
      </c>
      <c r="Q32" s="26"/>
      <c r="R32" s="25">
        <f>R19-R30</f>
        <v>41861.871589208582</v>
      </c>
      <c r="S32" s="26"/>
      <c r="T32" s="25">
        <f>T19-T30</f>
        <v>45210.821316345275</v>
      </c>
      <c r="U32" s="26"/>
      <c r="V32" s="25">
        <f>V19-V30</f>
        <v>48827.687021652891</v>
      </c>
      <c r="W32" s="26"/>
      <c r="X32" s="25">
        <f>X19-X30</f>
        <v>52733.90198338512</v>
      </c>
      <c r="Y32" s="26"/>
      <c r="Z32" s="25">
        <f>Z19-Z30</f>
        <v>56952.614142055929</v>
      </c>
      <c r="AA32" s="26"/>
      <c r="AB32" s="25">
        <f>AB19-AB30</f>
        <v>463535.29091775481</v>
      </c>
      <c r="AC32" s="27"/>
    </row>
    <row r="34" spans="1:29" ht="12.75" customHeight="1" x14ac:dyDescent="0.2">
      <c r="A34" s="28"/>
      <c r="B34" s="114"/>
      <c r="C34" s="17"/>
      <c r="D34" s="17"/>
      <c r="E34" s="29"/>
      <c r="F34" s="17"/>
      <c r="G34" s="29"/>
      <c r="H34" s="17"/>
      <c r="I34" s="29"/>
      <c r="J34" s="17"/>
      <c r="K34" s="29"/>
      <c r="L34" s="17"/>
      <c r="M34" s="29"/>
      <c r="N34" s="17"/>
      <c r="O34" s="29"/>
      <c r="P34" s="17"/>
      <c r="Q34" s="29"/>
      <c r="R34" s="17"/>
      <c r="S34" s="29"/>
      <c r="T34" s="17"/>
      <c r="U34" s="29"/>
      <c r="V34" s="17"/>
      <c r="W34" s="29"/>
      <c r="X34" s="17"/>
      <c r="Y34" s="29"/>
      <c r="Z34" s="17"/>
      <c r="AA34" s="29"/>
      <c r="AB34" s="17"/>
      <c r="AC34" s="6"/>
    </row>
    <row r="35" spans="1:29" ht="12.75" customHeight="1" x14ac:dyDescent="0.2">
      <c r="A35" s="16" t="s">
        <v>10</v>
      </c>
      <c r="B35" s="112"/>
      <c r="C35" s="17"/>
      <c r="D35" s="17"/>
      <c r="E35" s="29"/>
      <c r="F35" s="17"/>
      <c r="G35" s="29"/>
      <c r="H35" s="17"/>
      <c r="I35" s="29"/>
      <c r="J35" s="17"/>
      <c r="K35" s="29"/>
      <c r="L35" s="17"/>
      <c r="M35" s="29"/>
      <c r="N35" s="17"/>
      <c r="O35" s="29"/>
      <c r="P35" s="17"/>
      <c r="Q35" s="29"/>
      <c r="R35" s="17"/>
      <c r="S35" s="29"/>
      <c r="T35" s="17"/>
      <c r="U35" s="29"/>
      <c r="V35" s="17"/>
      <c r="W35" s="29"/>
      <c r="X35" s="17"/>
      <c r="Y35" s="29"/>
      <c r="Z35" s="17"/>
      <c r="AA35" s="29"/>
      <c r="AB35" s="17"/>
      <c r="AC35" s="6"/>
    </row>
    <row r="36" spans="1:29" ht="12.75" customHeight="1" x14ac:dyDescent="0.2">
      <c r="A36" s="19" t="s">
        <v>238</v>
      </c>
      <c r="B36" s="19"/>
      <c r="C36" s="100"/>
      <c r="D36" s="101">
        <f>Assumptions!$D$97</f>
        <v>1720</v>
      </c>
      <c r="E36" s="20"/>
      <c r="F36" s="101">
        <f>Assumptions!$D$97</f>
        <v>1720</v>
      </c>
      <c r="G36" s="20"/>
      <c r="H36" s="101">
        <f>Assumptions!$D$97</f>
        <v>1720</v>
      </c>
      <c r="I36" s="20"/>
      <c r="J36" s="101">
        <f>Assumptions!$D$97</f>
        <v>1720</v>
      </c>
      <c r="K36" s="20"/>
      <c r="L36" s="101">
        <f>Assumptions!$D$97</f>
        <v>1720</v>
      </c>
      <c r="M36" s="20"/>
      <c r="N36" s="101">
        <f>Assumptions!$D$97</f>
        <v>1720</v>
      </c>
      <c r="O36" s="20"/>
      <c r="P36" s="101">
        <f>Assumptions!$D$97</f>
        <v>1720</v>
      </c>
      <c r="Q36" s="20"/>
      <c r="R36" s="101">
        <f>Assumptions!$D$97</f>
        <v>1720</v>
      </c>
      <c r="S36" s="20"/>
      <c r="T36" s="101">
        <f>Assumptions!$D$97</f>
        <v>1720</v>
      </c>
      <c r="U36" s="20"/>
      <c r="V36" s="101">
        <f>Assumptions!$D$97</f>
        <v>1720</v>
      </c>
      <c r="W36" s="20"/>
      <c r="X36" s="101">
        <f>Assumptions!$D$97</f>
        <v>1720</v>
      </c>
      <c r="Y36" s="20"/>
      <c r="Z36" s="101">
        <f>Assumptions!$D$97</f>
        <v>1720</v>
      </c>
      <c r="AA36" s="20"/>
      <c r="AB36" s="21">
        <f t="shared" ref="AB36:AB49" si="4">SUM(Z36,X36,V36,T36,R36,P36,N36,L36,J36,H36,F36,D36)</f>
        <v>20640</v>
      </c>
      <c r="AC36" s="22"/>
    </row>
    <row r="37" spans="1:29" ht="12.75" customHeight="1" x14ac:dyDescent="0.2">
      <c r="A37" s="19" t="s">
        <v>237</v>
      </c>
      <c r="B37" s="19"/>
      <c r="C37" s="100"/>
      <c r="D37" s="101">
        <f>Assumptions!$D$103</f>
        <v>412.79999999999995</v>
      </c>
      <c r="E37" s="20"/>
      <c r="F37" s="101">
        <f>Assumptions!$D$103</f>
        <v>412.79999999999995</v>
      </c>
      <c r="G37" s="20"/>
      <c r="H37" s="101">
        <f>Assumptions!$D$103</f>
        <v>412.79999999999995</v>
      </c>
      <c r="I37" s="20"/>
      <c r="J37" s="101">
        <f>Assumptions!$D$103</f>
        <v>412.79999999999995</v>
      </c>
      <c r="K37" s="20"/>
      <c r="L37" s="101">
        <f>Assumptions!$D$103</f>
        <v>412.79999999999995</v>
      </c>
      <c r="M37" s="20"/>
      <c r="N37" s="101">
        <f>Assumptions!$D$103</f>
        <v>412.79999999999995</v>
      </c>
      <c r="O37" s="20"/>
      <c r="P37" s="101">
        <f>Assumptions!$D$103</f>
        <v>412.79999999999995</v>
      </c>
      <c r="Q37" s="20"/>
      <c r="R37" s="101">
        <f>Assumptions!$D$103</f>
        <v>412.79999999999995</v>
      </c>
      <c r="S37" s="20"/>
      <c r="T37" s="101">
        <f>Assumptions!$D$103</f>
        <v>412.79999999999995</v>
      </c>
      <c r="U37" s="20"/>
      <c r="V37" s="101">
        <f>Assumptions!$D$103</f>
        <v>412.79999999999995</v>
      </c>
      <c r="W37" s="20"/>
      <c r="X37" s="101">
        <f>Assumptions!$D$103</f>
        <v>412.79999999999995</v>
      </c>
      <c r="Y37" s="20"/>
      <c r="Z37" s="101">
        <f>Assumptions!$D$103*2</f>
        <v>825.59999999999991</v>
      </c>
      <c r="AA37" s="20"/>
      <c r="AB37" s="21">
        <f t="shared" si="4"/>
        <v>5366.4000000000015</v>
      </c>
      <c r="AC37" s="22"/>
    </row>
    <row r="38" spans="1:29" ht="12.75" customHeight="1" x14ac:dyDescent="0.2">
      <c r="A38" s="19" t="s">
        <v>236</v>
      </c>
      <c r="B38" s="19"/>
      <c r="C38" s="100"/>
      <c r="D38" s="101">
        <f>Assumptions!$D$109</f>
        <v>6880</v>
      </c>
      <c r="E38" s="20"/>
      <c r="F38" s="101">
        <f>Assumptions!$D$109</f>
        <v>6880</v>
      </c>
      <c r="G38" s="20"/>
      <c r="H38" s="101">
        <f>Assumptions!$D$109</f>
        <v>6880</v>
      </c>
      <c r="I38" s="20"/>
      <c r="J38" s="101">
        <f>Assumptions!$D$109*2</f>
        <v>13760</v>
      </c>
      <c r="K38" s="20"/>
      <c r="L38" s="101">
        <f>Assumptions!$D$109*2</f>
        <v>13760</v>
      </c>
      <c r="M38" s="20"/>
      <c r="N38" s="101">
        <f>Assumptions!$D$109*2</f>
        <v>13760</v>
      </c>
      <c r="O38" s="20"/>
      <c r="P38" s="101">
        <f>Assumptions!$D$109*2</f>
        <v>13760</v>
      </c>
      <c r="Q38" s="20"/>
      <c r="R38" s="101">
        <f>Assumptions!$D$109*2</f>
        <v>13760</v>
      </c>
      <c r="S38" s="20"/>
      <c r="T38" s="101">
        <f>Assumptions!$D$109*2</f>
        <v>13760</v>
      </c>
      <c r="U38" s="20"/>
      <c r="V38" s="101">
        <f>Assumptions!$D$109*2</f>
        <v>13760</v>
      </c>
      <c r="W38" s="20"/>
      <c r="X38" s="101">
        <f>Assumptions!$D$109*2</f>
        <v>13760</v>
      </c>
      <c r="Y38" s="20"/>
      <c r="Z38" s="101">
        <f>Assumptions!$D$109*2</f>
        <v>13760</v>
      </c>
      <c r="AA38" s="20"/>
      <c r="AB38" s="21">
        <f t="shared" si="4"/>
        <v>144480</v>
      </c>
      <c r="AC38" s="22"/>
    </row>
    <row r="39" spans="1:29" ht="12.75" customHeight="1" x14ac:dyDescent="0.2">
      <c r="A39" s="19" t="s">
        <v>239</v>
      </c>
      <c r="B39" s="19"/>
      <c r="C39" s="100"/>
      <c r="D39" s="101">
        <f>Assumptions!$D$114</f>
        <v>2064</v>
      </c>
      <c r="E39" s="20"/>
      <c r="F39" s="101">
        <f>Assumptions!$D$114</f>
        <v>2064</v>
      </c>
      <c r="G39" s="20"/>
      <c r="H39" s="101">
        <f>Assumptions!$D$114</f>
        <v>2064</v>
      </c>
      <c r="I39" s="20"/>
      <c r="J39" s="101">
        <f>Assumptions!$D$114</f>
        <v>2064</v>
      </c>
      <c r="K39" s="20"/>
      <c r="L39" s="101">
        <f>Assumptions!$D$114</f>
        <v>2064</v>
      </c>
      <c r="M39" s="20"/>
      <c r="N39" s="101">
        <f>Assumptions!$D$114</f>
        <v>2064</v>
      </c>
      <c r="O39" s="20"/>
      <c r="P39" s="101">
        <f>Assumptions!$D$114</f>
        <v>2064</v>
      </c>
      <c r="Q39" s="20"/>
      <c r="R39" s="101">
        <f>Assumptions!$D$114</f>
        <v>2064</v>
      </c>
      <c r="S39" s="20"/>
      <c r="T39" s="101">
        <f>Assumptions!$D$114</f>
        <v>2064</v>
      </c>
      <c r="U39" s="20"/>
      <c r="V39" s="101">
        <f>Assumptions!$D$114</f>
        <v>2064</v>
      </c>
      <c r="W39" s="20"/>
      <c r="X39" s="101">
        <f>Assumptions!$D$114</f>
        <v>2064</v>
      </c>
      <c r="Y39" s="20"/>
      <c r="Z39" s="101">
        <f>Assumptions!$D$114</f>
        <v>2064</v>
      </c>
      <c r="AA39" s="20"/>
      <c r="AB39" s="21">
        <f t="shared" si="4"/>
        <v>24768</v>
      </c>
      <c r="AC39" s="22"/>
    </row>
    <row r="40" spans="1:29" ht="12.75" customHeight="1" x14ac:dyDescent="0.2">
      <c r="A40" s="19" t="s">
        <v>240</v>
      </c>
      <c r="B40" s="19"/>
      <c r="C40" s="100"/>
      <c r="D40" s="101">
        <f>Assumptions!$D$117</f>
        <v>3350</v>
      </c>
      <c r="E40" s="20"/>
      <c r="F40" s="101">
        <f>Assumptions!$D$117</f>
        <v>3350</v>
      </c>
      <c r="G40" s="20"/>
      <c r="H40" s="101">
        <f>Assumptions!$D$117</f>
        <v>3350</v>
      </c>
      <c r="I40" s="20"/>
      <c r="J40" s="101">
        <f>Assumptions!$D$117</f>
        <v>3350</v>
      </c>
      <c r="K40" s="20"/>
      <c r="L40" s="101">
        <f>Assumptions!$D$117</f>
        <v>3350</v>
      </c>
      <c r="M40" s="20"/>
      <c r="N40" s="101">
        <f>Assumptions!$D$117</f>
        <v>3350</v>
      </c>
      <c r="O40" s="20"/>
      <c r="P40" s="101">
        <f>Assumptions!$D$117</f>
        <v>3350</v>
      </c>
      <c r="Q40" s="20"/>
      <c r="R40" s="101">
        <f>Assumptions!$D$117</f>
        <v>3350</v>
      </c>
      <c r="S40" s="20"/>
      <c r="T40" s="101">
        <f>Assumptions!$D$117</f>
        <v>3350</v>
      </c>
      <c r="U40" s="20"/>
      <c r="V40" s="101">
        <f>Assumptions!$D$117</f>
        <v>3350</v>
      </c>
      <c r="W40" s="20"/>
      <c r="X40" s="101">
        <f>Assumptions!$D$117</f>
        <v>3350</v>
      </c>
      <c r="Y40" s="20"/>
      <c r="Z40" s="101">
        <f>Assumptions!$D$117</f>
        <v>3350</v>
      </c>
      <c r="AA40" s="20"/>
      <c r="AB40" s="21">
        <f t="shared" si="4"/>
        <v>40200</v>
      </c>
      <c r="AC40" s="22"/>
    </row>
    <row r="41" spans="1:29" ht="12.75" customHeight="1" x14ac:dyDescent="0.2">
      <c r="A41" s="19" t="s">
        <v>231</v>
      </c>
      <c r="B41" s="19"/>
      <c r="C41" s="100"/>
      <c r="D41" s="101">
        <f>Assumptions!$D90</f>
        <v>1000</v>
      </c>
      <c r="E41" s="20"/>
      <c r="F41" s="101">
        <f>Assumptions!$D90</f>
        <v>1000</v>
      </c>
      <c r="G41" s="20"/>
      <c r="H41" s="101">
        <f>Assumptions!$D90</f>
        <v>1000</v>
      </c>
      <c r="I41" s="20"/>
      <c r="J41" s="101">
        <f>Assumptions!$D90</f>
        <v>1000</v>
      </c>
      <c r="K41" s="20"/>
      <c r="L41" s="101">
        <f>Assumptions!$D90</f>
        <v>1000</v>
      </c>
      <c r="M41" s="20"/>
      <c r="N41" s="101">
        <f>Assumptions!$D90</f>
        <v>1000</v>
      </c>
      <c r="O41" s="20"/>
      <c r="P41" s="101">
        <f>Assumptions!$D90</f>
        <v>1000</v>
      </c>
      <c r="Q41" s="20"/>
      <c r="R41" s="101">
        <f>Assumptions!$D90</f>
        <v>1000</v>
      </c>
      <c r="S41" s="20"/>
      <c r="T41" s="101">
        <f>Assumptions!$D90</f>
        <v>1000</v>
      </c>
      <c r="U41" s="20"/>
      <c r="V41" s="101">
        <f>Assumptions!$D90</f>
        <v>1000</v>
      </c>
      <c r="W41" s="20"/>
      <c r="X41" s="101">
        <f>Assumptions!$D90</f>
        <v>1000</v>
      </c>
      <c r="Y41" s="20"/>
      <c r="Z41" s="101">
        <f>Assumptions!$D90</f>
        <v>1000</v>
      </c>
      <c r="AA41" s="20"/>
      <c r="AB41" s="21">
        <f t="shared" si="4"/>
        <v>12000</v>
      </c>
      <c r="AC41" s="22"/>
    </row>
    <row r="42" spans="1:29" ht="12.75" customHeight="1" x14ac:dyDescent="0.2">
      <c r="A42" s="19" t="s">
        <v>14</v>
      </c>
      <c r="B42" s="19"/>
      <c r="C42" s="100"/>
      <c r="D42" s="101">
        <f>Assumptions!$D88*D19</f>
        <v>1699.2</v>
      </c>
      <c r="E42" s="20"/>
      <c r="F42" s="101">
        <f>Assumptions!$D88*F19</f>
        <v>1835.1359999999997</v>
      </c>
      <c r="G42" s="20"/>
      <c r="H42" s="101">
        <f>Assumptions!$D88*H19</f>
        <v>1981.9468800000004</v>
      </c>
      <c r="I42" s="20"/>
      <c r="J42" s="101">
        <f>Assumptions!$D88*J19</f>
        <v>2140.5026304000007</v>
      </c>
      <c r="K42" s="20"/>
      <c r="L42" s="101">
        <f>Assumptions!$D88*L19</f>
        <v>2311.7428408320006</v>
      </c>
      <c r="M42" s="20"/>
      <c r="N42" s="101">
        <f>Assumptions!$D88*N19</f>
        <v>2496.6822680985606</v>
      </c>
      <c r="O42" s="20"/>
      <c r="P42" s="101">
        <f>Assumptions!$D88*P19</f>
        <v>2696.416849546446</v>
      </c>
      <c r="Q42" s="20"/>
      <c r="R42" s="101">
        <f>Assumptions!$D88*R19</f>
        <v>2912.1301975101624</v>
      </c>
      <c r="S42" s="20"/>
      <c r="T42" s="101">
        <f>Assumptions!$D88*T19</f>
        <v>3145.1006133109754</v>
      </c>
      <c r="U42" s="20"/>
      <c r="V42" s="101">
        <f>Assumptions!$D88*V19</f>
        <v>3396.7086623758537</v>
      </c>
      <c r="W42" s="20"/>
      <c r="X42" s="101">
        <f>Assumptions!$D88*X19</f>
        <v>3668.4453553659218</v>
      </c>
      <c r="Y42" s="20"/>
      <c r="Z42" s="101">
        <f>Assumptions!$D88*Z19</f>
        <v>3961.9209837951953</v>
      </c>
      <c r="AA42" s="20"/>
      <c r="AB42" s="21">
        <f t="shared" si="4"/>
        <v>32245.933281235117</v>
      </c>
      <c r="AC42" s="22"/>
    </row>
    <row r="43" spans="1:29" ht="12.75" customHeight="1" x14ac:dyDescent="0.2">
      <c r="A43" s="19" t="s">
        <v>15</v>
      </c>
      <c r="B43" s="19"/>
      <c r="C43" s="100"/>
      <c r="D43" s="101">
        <f>Assumptions!$D81</f>
        <v>2083.3333333333335</v>
      </c>
      <c r="E43" s="20"/>
      <c r="F43" s="101">
        <f>Assumptions!$D81</f>
        <v>2083.3333333333335</v>
      </c>
      <c r="G43" s="20"/>
      <c r="H43" s="101">
        <f>Assumptions!$D81</f>
        <v>2083.3333333333335</v>
      </c>
      <c r="I43" s="20"/>
      <c r="J43" s="101">
        <f>Assumptions!$D81</f>
        <v>2083.3333333333335</v>
      </c>
      <c r="K43" s="20"/>
      <c r="L43" s="101">
        <f>Assumptions!$D81</f>
        <v>2083.3333333333335</v>
      </c>
      <c r="M43" s="20"/>
      <c r="N43" s="101">
        <f>Assumptions!$D81</f>
        <v>2083.3333333333335</v>
      </c>
      <c r="O43" s="20"/>
      <c r="P43" s="101">
        <f>Assumptions!$D81</f>
        <v>2083.3333333333335</v>
      </c>
      <c r="Q43" s="20"/>
      <c r="R43" s="101">
        <f>Assumptions!$D81</f>
        <v>2083.3333333333335</v>
      </c>
      <c r="S43" s="20"/>
      <c r="T43" s="101">
        <f>Assumptions!$D81</f>
        <v>2083.3333333333335</v>
      </c>
      <c r="U43" s="20"/>
      <c r="V43" s="101">
        <f>Assumptions!$D81</f>
        <v>2083.3333333333335</v>
      </c>
      <c r="W43" s="20"/>
      <c r="X43" s="101">
        <f>Assumptions!$D81</f>
        <v>2083.3333333333335</v>
      </c>
      <c r="Y43" s="20"/>
      <c r="Z43" s="101">
        <f>Assumptions!$D81</f>
        <v>2083.3333333333335</v>
      </c>
      <c r="AA43" s="20"/>
      <c r="AB43" s="21">
        <f t="shared" si="4"/>
        <v>24999.999999999996</v>
      </c>
      <c r="AC43" s="22"/>
    </row>
    <row r="44" spans="1:29" ht="12.75" customHeight="1" x14ac:dyDescent="0.2">
      <c r="A44" s="19" t="s">
        <v>230</v>
      </c>
      <c r="B44" s="19"/>
      <c r="C44" s="100"/>
      <c r="D44" s="101">
        <f>Assumptions!$D86</f>
        <v>600</v>
      </c>
      <c r="E44" s="20"/>
      <c r="F44" s="101">
        <f>Assumptions!$D86</f>
        <v>600</v>
      </c>
      <c r="G44" s="20"/>
      <c r="H44" s="101">
        <f>Assumptions!$D86</f>
        <v>600</v>
      </c>
      <c r="I44" s="20"/>
      <c r="J44" s="101">
        <f>Assumptions!$D86</f>
        <v>600</v>
      </c>
      <c r="K44" s="20"/>
      <c r="L44" s="101">
        <f>Assumptions!$D86</f>
        <v>600</v>
      </c>
      <c r="M44" s="20"/>
      <c r="N44" s="101">
        <f>Assumptions!$D86</f>
        <v>600</v>
      </c>
      <c r="O44" s="20"/>
      <c r="P44" s="101">
        <f>Assumptions!$D86</f>
        <v>600</v>
      </c>
      <c r="Q44" s="20"/>
      <c r="R44" s="101">
        <f>Assumptions!$D86</f>
        <v>600</v>
      </c>
      <c r="S44" s="20"/>
      <c r="T44" s="101">
        <f>Assumptions!$D86</f>
        <v>600</v>
      </c>
      <c r="U44" s="20"/>
      <c r="V44" s="101">
        <f>Assumptions!$D86</f>
        <v>600</v>
      </c>
      <c r="W44" s="20"/>
      <c r="X44" s="101">
        <f>Assumptions!$D86</f>
        <v>600</v>
      </c>
      <c r="Y44" s="20"/>
      <c r="Z44" s="101">
        <f>Assumptions!$D86</f>
        <v>600</v>
      </c>
      <c r="AA44" s="20"/>
      <c r="AB44" s="21">
        <f t="shared" si="4"/>
        <v>7200</v>
      </c>
      <c r="AC44" s="22"/>
    </row>
    <row r="45" spans="1:29" ht="12.75" customHeight="1" x14ac:dyDescent="0.2">
      <c r="A45" s="19" t="s">
        <v>17</v>
      </c>
      <c r="B45" s="19"/>
      <c r="C45" s="100"/>
      <c r="D45" s="101">
        <f>Assumptions!$D82</f>
        <v>500</v>
      </c>
      <c r="E45" s="20"/>
      <c r="F45" s="101">
        <f>Assumptions!$D82</f>
        <v>500</v>
      </c>
      <c r="G45" s="20"/>
      <c r="H45" s="101">
        <f>Assumptions!$D82</f>
        <v>500</v>
      </c>
      <c r="I45" s="20"/>
      <c r="J45" s="101">
        <f>Assumptions!$D82</f>
        <v>500</v>
      </c>
      <c r="K45" s="20"/>
      <c r="L45" s="101">
        <f>Assumptions!$D82</f>
        <v>500</v>
      </c>
      <c r="M45" s="20"/>
      <c r="N45" s="101">
        <f>Assumptions!$D82</f>
        <v>500</v>
      </c>
      <c r="O45" s="20"/>
      <c r="P45" s="101">
        <f>Assumptions!$D82</f>
        <v>500</v>
      </c>
      <c r="Q45" s="20"/>
      <c r="R45" s="101">
        <f>Assumptions!$D82</f>
        <v>500</v>
      </c>
      <c r="S45" s="20"/>
      <c r="T45" s="101">
        <f>Assumptions!$D82</f>
        <v>500</v>
      </c>
      <c r="U45" s="20"/>
      <c r="V45" s="101">
        <f>Assumptions!$D82</f>
        <v>500</v>
      </c>
      <c r="W45" s="20"/>
      <c r="X45" s="101">
        <f>Assumptions!$D82</f>
        <v>500</v>
      </c>
      <c r="Y45" s="20"/>
      <c r="Z45" s="101">
        <f>Assumptions!$D82</f>
        <v>500</v>
      </c>
      <c r="AA45" s="20"/>
      <c r="AB45" s="21">
        <f t="shared" si="4"/>
        <v>6000</v>
      </c>
      <c r="AC45" s="22"/>
    </row>
    <row r="46" spans="1:29" ht="12.75" customHeight="1" x14ac:dyDescent="0.2">
      <c r="A46" s="19" t="s">
        <v>18</v>
      </c>
      <c r="B46" s="19"/>
      <c r="C46" s="100"/>
      <c r="D46" s="101">
        <f>Assumptions!$D89</f>
        <v>1500</v>
      </c>
      <c r="E46" s="20"/>
      <c r="F46" s="101">
        <f>Assumptions!$D89</f>
        <v>1500</v>
      </c>
      <c r="G46" s="20"/>
      <c r="H46" s="101">
        <f>Assumptions!$D89</f>
        <v>1500</v>
      </c>
      <c r="I46" s="20"/>
      <c r="J46" s="101">
        <f>Assumptions!$D89</f>
        <v>1500</v>
      </c>
      <c r="K46" s="20"/>
      <c r="L46" s="101">
        <f>Assumptions!$D89</f>
        <v>1500</v>
      </c>
      <c r="M46" s="20"/>
      <c r="N46" s="101">
        <f>Assumptions!$D89</f>
        <v>1500</v>
      </c>
      <c r="O46" s="20"/>
      <c r="P46" s="101">
        <f>Assumptions!$D89</f>
        <v>1500</v>
      </c>
      <c r="Q46" s="20"/>
      <c r="R46" s="101">
        <f>Assumptions!$D89</f>
        <v>1500</v>
      </c>
      <c r="S46" s="20"/>
      <c r="T46" s="101">
        <f>Assumptions!$D89</f>
        <v>1500</v>
      </c>
      <c r="U46" s="20"/>
      <c r="V46" s="101">
        <f>Assumptions!$D89</f>
        <v>1500</v>
      </c>
      <c r="W46" s="20"/>
      <c r="X46" s="101">
        <f>Assumptions!$D89</f>
        <v>1500</v>
      </c>
      <c r="Y46" s="20"/>
      <c r="Z46" s="101">
        <f>Assumptions!$D89</f>
        <v>1500</v>
      </c>
      <c r="AA46" s="20"/>
      <c r="AB46" s="21">
        <f t="shared" si="4"/>
        <v>18000</v>
      </c>
      <c r="AC46" s="22"/>
    </row>
    <row r="47" spans="1:29" ht="12.75" customHeight="1" x14ac:dyDescent="0.2">
      <c r="A47" s="19" t="s">
        <v>235</v>
      </c>
      <c r="B47" s="19"/>
      <c r="C47" s="100"/>
      <c r="D47" s="101">
        <f>Assumptions!$D93</f>
        <v>500</v>
      </c>
      <c r="E47" s="20"/>
      <c r="F47" s="101">
        <f>Assumptions!$D93</f>
        <v>500</v>
      </c>
      <c r="G47" s="20"/>
      <c r="H47" s="101">
        <f>Assumptions!$D93</f>
        <v>500</v>
      </c>
      <c r="I47" s="20"/>
      <c r="J47" s="101">
        <f>Assumptions!$D93</f>
        <v>500</v>
      </c>
      <c r="K47" s="20"/>
      <c r="L47" s="101">
        <f>Assumptions!$D93</f>
        <v>500</v>
      </c>
      <c r="M47" s="20"/>
      <c r="N47" s="101">
        <f>Assumptions!$D93</f>
        <v>500</v>
      </c>
      <c r="O47" s="20"/>
      <c r="P47" s="101">
        <f>Assumptions!$D93</f>
        <v>500</v>
      </c>
      <c r="Q47" s="20"/>
      <c r="R47" s="101">
        <f>Assumptions!$D93</f>
        <v>500</v>
      </c>
      <c r="S47" s="20"/>
      <c r="T47" s="101">
        <f>Assumptions!$D93</f>
        <v>500</v>
      </c>
      <c r="U47" s="20"/>
      <c r="V47" s="101">
        <f>Assumptions!$D93</f>
        <v>500</v>
      </c>
      <c r="W47" s="20"/>
      <c r="X47" s="101">
        <f>Assumptions!$D93</f>
        <v>500</v>
      </c>
      <c r="Y47" s="20"/>
      <c r="Z47" s="101">
        <f>Assumptions!$D93</f>
        <v>500</v>
      </c>
      <c r="AA47" s="20"/>
      <c r="AB47" s="21">
        <f t="shared" si="4"/>
        <v>6000</v>
      </c>
      <c r="AC47" s="22"/>
    </row>
    <row r="48" spans="1:29" ht="12.75" customHeight="1" x14ac:dyDescent="0.2">
      <c r="A48" s="19" t="s">
        <v>241</v>
      </c>
      <c r="B48" s="19"/>
      <c r="C48" s="100"/>
      <c r="D48" s="101">
        <f>0.1*D19</f>
        <v>3398.4</v>
      </c>
      <c r="E48" s="20"/>
      <c r="F48" s="101">
        <f>0.1*F19</f>
        <v>3670.2719999999995</v>
      </c>
      <c r="G48" s="20"/>
      <c r="H48" s="101">
        <f>0.1*H19</f>
        <v>3963.8937600000008</v>
      </c>
      <c r="I48" s="20"/>
      <c r="J48" s="101">
        <f>0.1*J19</f>
        <v>4281.0052608000015</v>
      </c>
      <c r="K48" s="20"/>
      <c r="L48" s="101">
        <f>0.1*L19</f>
        <v>4623.4856816640013</v>
      </c>
      <c r="M48" s="20"/>
      <c r="N48" s="101">
        <f>0.1*N19</f>
        <v>4993.3645361971212</v>
      </c>
      <c r="O48" s="20"/>
      <c r="P48" s="101">
        <f>0.1*P19</f>
        <v>5392.8336990928919</v>
      </c>
      <c r="Q48" s="20"/>
      <c r="R48" s="101">
        <f>0.1*R19</f>
        <v>5824.2603950203247</v>
      </c>
      <c r="S48" s="20"/>
      <c r="T48" s="101">
        <f>0.1*T19</f>
        <v>6290.2012266219508</v>
      </c>
      <c r="U48" s="20"/>
      <c r="V48" s="101">
        <f>0.1*V19</f>
        <v>6793.4173247517074</v>
      </c>
      <c r="W48" s="20"/>
      <c r="X48" s="101">
        <f>0.1*X19</f>
        <v>7336.8907107318437</v>
      </c>
      <c r="Y48" s="20"/>
      <c r="Z48" s="101">
        <f>0.1*Z19</f>
        <v>7923.8419675903906</v>
      </c>
      <c r="AA48" s="20"/>
      <c r="AB48" s="21">
        <f t="shared" si="4"/>
        <v>64491.866562470233</v>
      </c>
      <c r="AC48" s="22"/>
    </row>
    <row r="49" spans="1:29" s="125" customFormat="1" ht="12.75" customHeight="1" x14ac:dyDescent="0.2">
      <c r="A49" s="19" t="s">
        <v>19</v>
      </c>
      <c r="B49" s="19"/>
      <c r="C49" s="100"/>
      <c r="D49" s="101"/>
      <c r="E49" s="20"/>
      <c r="F49" s="101"/>
      <c r="G49" s="20"/>
      <c r="H49" s="101"/>
      <c r="I49" s="20"/>
      <c r="J49" s="101"/>
      <c r="K49" s="20"/>
      <c r="L49" s="101"/>
      <c r="M49" s="20"/>
      <c r="N49" s="101"/>
      <c r="O49" s="20"/>
      <c r="P49" s="101"/>
      <c r="Q49" s="20"/>
      <c r="R49" s="101"/>
      <c r="S49" s="20"/>
      <c r="T49" s="101"/>
      <c r="U49" s="20"/>
      <c r="V49" s="101"/>
      <c r="W49" s="20"/>
      <c r="X49" s="101"/>
      <c r="Y49" s="20"/>
      <c r="Z49" s="101"/>
      <c r="AA49" s="20"/>
      <c r="AB49" s="21">
        <f t="shared" si="4"/>
        <v>0</v>
      </c>
      <c r="AC49" s="124"/>
    </row>
    <row r="50" spans="1:29" s="125" customFormat="1" ht="12.75" customHeight="1" x14ac:dyDescent="0.2">
      <c r="A50" s="23" t="s">
        <v>21</v>
      </c>
      <c r="B50" s="23"/>
      <c r="C50" s="24"/>
      <c r="D50" s="25">
        <f>SUM(D36:D49)</f>
        <v>25707.733333333334</v>
      </c>
      <c r="E50" s="20"/>
      <c r="F50" s="25">
        <f>SUM(F36:F49)</f>
        <v>26115.541333333331</v>
      </c>
      <c r="G50" s="20"/>
      <c r="H50" s="25">
        <f>SUM(H36:H49)</f>
        <v>26555.973973333334</v>
      </c>
      <c r="I50" s="20"/>
      <c r="J50" s="25">
        <f>SUM(J36:J49)</f>
        <v>33911.641224533334</v>
      </c>
      <c r="K50" s="20"/>
      <c r="L50" s="25">
        <f>SUM(L36:L49)</f>
        <v>34425.361855829331</v>
      </c>
      <c r="M50" s="20"/>
      <c r="N50" s="25">
        <f>SUM(N36:N49)</f>
        <v>34980.18013762901</v>
      </c>
      <c r="O50" s="20"/>
      <c r="P50" s="25">
        <f>SUM(P36:P49)</f>
        <v>35579.383881972673</v>
      </c>
      <c r="Q50" s="20"/>
      <c r="R50" s="25">
        <f>SUM(R36:R49)</f>
        <v>36226.523925863818</v>
      </c>
      <c r="S50" s="20"/>
      <c r="T50" s="25">
        <f>SUM(T36:T49)</f>
        <v>36925.435173266262</v>
      </c>
      <c r="U50" s="20"/>
      <c r="V50" s="25">
        <f>SUM(V36:V49)</f>
        <v>37680.259320460893</v>
      </c>
      <c r="W50" s="20"/>
      <c r="X50" s="25">
        <f>SUM(X36:X49)</f>
        <v>38495.469399431095</v>
      </c>
      <c r="Y50" s="20"/>
      <c r="Z50" s="25">
        <f>SUM(Z36:Z49)</f>
        <v>39788.696284718921</v>
      </c>
      <c r="AA50" s="20"/>
      <c r="AB50" s="25">
        <f>SUM(AB36:AB49)</f>
        <v>406392.19984370534</v>
      </c>
      <c r="AC50" s="126"/>
    </row>
    <row r="51" spans="1:29" s="125" customFormat="1" ht="12.75" customHeight="1" x14ac:dyDescent="0.2">
      <c r="A51" s="28"/>
      <c r="B51" s="114"/>
      <c r="C51" s="17"/>
      <c r="D51" s="17"/>
      <c r="E51" s="29"/>
      <c r="F51" s="17"/>
      <c r="G51" s="29"/>
      <c r="H51" s="17"/>
      <c r="I51" s="29"/>
      <c r="J51" s="17"/>
      <c r="K51" s="29"/>
      <c r="L51" s="17"/>
      <c r="M51" s="29"/>
      <c r="N51" s="17"/>
      <c r="O51" s="29"/>
      <c r="P51" s="17"/>
      <c r="Q51" s="29"/>
      <c r="R51" s="17"/>
      <c r="S51" s="29"/>
      <c r="T51" s="17"/>
      <c r="U51" s="29"/>
      <c r="V51" s="17"/>
      <c r="W51" s="29"/>
      <c r="X51" s="17"/>
      <c r="Y51" s="29"/>
      <c r="Z51" s="17"/>
      <c r="AA51" s="29"/>
      <c r="AB51" s="17"/>
      <c r="AC51" s="127"/>
    </row>
    <row r="52" spans="1:29" s="125" customFormat="1" ht="12.75" customHeight="1" x14ac:dyDescent="0.2">
      <c r="A52" s="23" t="s">
        <v>22</v>
      </c>
      <c r="B52" s="23"/>
      <c r="C52" s="100"/>
      <c r="D52" s="25">
        <f>D32-D50</f>
        <v>-1281.7333333333336</v>
      </c>
      <c r="E52" s="20"/>
      <c r="F52" s="25">
        <f>F32-F50</f>
        <v>264.53866666666363</v>
      </c>
      <c r="G52" s="20"/>
      <c r="H52" s="25">
        <f>H32-H50</f>
        <v>1934.512426666668</v>
      </c>
      <c r="I52" s="20"/>
      <c r="J52" s="25">
        <f>J32-J50</f>
        <v>-3141.9159125333244</v>
      </c>
      <c r="K52" s="20"/>
      <c r="L52" s="25">
        <f>L32-L50</f>
        <v>-1194.0585188693149</v>
      </c>
      <c r="M52" s="20"/>
      <c r="N52" s="25">
        <f>N32-N50</f>
        <v>909.6274662877986</v>
      </c>
      <c r="O52" s="20"/>
      <c r="P52" s="25">
        <f>P32-P50</f>
        <v>3181.6083302574843</v>
      </c>
      <c r="Q52" s="20"/>
      <c r="R52" s="25">
        <f>R32-R50</f>
        <v>5635.3476633447644</v>
      </c>
      <c r="S52" s="20"/>
      <c r="T52" s="25">
        <f>T32-T50</f>
        <v>8285.386143079013</v>
      </c>
      <c r="U52" s="20"/>
      <c r="V52" s="25">
        <f>V32-V50</f>
        <v>11147.427701191998</v>
      </c>
      <c r="W52" s="20"/>
      <c r="X52" s="25">
        <f>X32-X50</f>
        <v>14238.432583954025</v>
      </c>
      <c r="Y52" s="20"/>
      <c r="Z52" s="25">
        <f>Z32-Z50</f>
        <v>17163.917857337008</v>
      </c>
      <c r="AA52" s="20"/>
      <c r="AB52" s="25">
        <f>AB32-AB50</f>
        <v>57143.091074049473</v>
      </c>
      <c r="AC52" s="124"/>
    </row>
    <row r="53" spans="1:29" s="125" customFormat="1" ht="12.75" customHeight="1" x14ac:dyDescent="0.2">
      <c r="A53" s="128"/>
      <c r="B53" s="128"/>
      <c r="C53" s="129"/>
      <c r="D53" s="129"/>
      <c r="E53" s="130"/>
      <c r="F53" s="129"/>
      <c r="G53" s="130"/>
      <c r="H53" s="129"/>
      <c r="I53" s="130"/>
      <c r="J53" s="129"/>
      <c r="K53" s="130"/>
      <c r="L53" s="129"/>
      <c r="M53" s="130"/>
      <c r="N53" s="129"/>
      <c r="O53" s="130"/>
      <c r="P53" s="129"/>
      <c r="Q53" s="130"/>
      <c r="R53" s="129"/>
      <c r="S53" s="130"/>
      <c r="T53" s="129"/>
      <c r="U53" s="130"/>
      <c r="V53" s="129"/>
      <c r="W53" s="130"/>
      <c r="X53" s="129"/>
      <c r="Y53" s="130"/>
      <c r="Z53" s="129"/>
      <c r="AA53" s="130"/>
      <c r="AB53" s="129"/>
      <c r="AC53" s="127"/>
    </row>
    <row r="54" spans="1:29" s="125" customFormat="1" ht="12.75" customHeight="1" x14ac:dyDescent="0.2">
      <c r="A54" s="127" t="s">
        <v>250</v>
      </c>
      <c r="B54" s="127"/>
      <c r="C54" s="131"/>
      <c r="D54" s="131"/>
      <c r="E54" s="132"/>
      <c r="F54" s="131"/>
      <c r="G54" s="132"/>
      <c r="H54" s="131"/>
      <c r="I54" s="132"/>
      <c r="J54" s="131"/>
      <c r="K54" s="132"/>
      <c r="L54" s="131"/>
      <c r="M54" s="132"/>
      <c r="N54" s="131"/>
      <c r="O54" s="132"/>
      <c r="P54" s="131"/>
      <c r="Q54" s="132"/>
      <c r="R54" s="131"/>
      <c r="S54" s="132"/>
      <c r="T54" s="131"/>
      <c r="U54" s="132"/>
      <c r="V54" s="131"/>
      <c r="W54" s="132"/>
      <c r="X54" s="131"/>
      <c r="Y54" s="132"/>
      <c r="Z54" s="131"/>
      <c r="AA54" s="132"/>
      <c r="AB54" s="131"/>
      <c r="AC54" s="127"/>
    </row>
    <row r="55" spans="1:29" s="125" customFormat="1" ht="12.75" customHeight="1" x14ac:dyDescent="0.2">
      <c r="A55" s="133" t="s">
        <v>109</v>
      </c>
      <c r="B55" s="144">
        <v>37500</v>
      </c>
      <c r="C55" s="131"/>
      <c r="D55" s="131"/>
      <c r="E55" s="132"/>
      <c r="F55" s="131"/>
      <c r="G55" s="132"/>
      <c r="H55" s="131"/>
      <c r="I55" s="132"/>
      <c r="J55" s="131"/>
      <c r="K55" s="132"/>
      <c r="L55" s="131"/>
      <c r="M55" s="132"/>
      <c r="N55" s="131"/>
      <c r="O55" s="132"/>
      <c r="P55" s="131"/>
      <c r="Q55" s="132"/>
      <c r="R55" s="131"/>
      <c r="S55" s="132"/>
      <c r="T55" s="131"/>
      <c r="U55" s="132"/>
      <c r="V55" s="131"/>
      <c r="W55" s="132"/>
      <c r="X55" s="131"/>
      <c r="Y55" s="132"/>
      <c r="Z55" s="131"/>
      <c r="AA55" s="132"/>
      <c r="AB55" s="131"/>
      <c r="AC55" s="127"/>
    </row>
    <row r="56" spans="1:29" s="125" customFormat="1" ht="17.25" customHeight="1" x14ac:dyDescent="0.2">
      <c r="A56" s="133" t="s">
        <v>111</v>
      </c>
      <c r="B56" s="144">
        <v>75200</v>
      </c>
      <c r="C56" s="131"/>
      <c r="D56" s="131"/>
      <c r="E56" s="132"/>
      <c r="F56" s="131"/>
      <c r="G56" s="132"/>
      <c r="H56" s="131"/>
      <c r="I56" s="132"/>
      <c r="J56" s="131"/>
      <c r="K56" s="132"/>
      <c r="L56" s="131"/>
      <c r="M56" s="132"/>
      <c r="N56" s="131"/>
      <c r="O56" s="132"/>
      <c r="P56" s="131"/>
      <c r="Q56" s="132"/>
      <c r="R56" s="131"/>
      <c r="S56" s="132"/>
      <c r="T56" s="131"/>
      <c r="U56" s="132"/>
      <c r="V56" s="131"/>
      <c r="W56" s="132"/>
      <c r="X56" s="131"/>
      <c r="Y56" s="132"/>
      <c r="Z56" s="131"/>
      <c r="AA56" s="132"/>
      <c r="AB56" s="131"/>
      <c r="AC56" s="127"/>
    </row>
    <row r="57" spans="1:29" s="125" customFormat="1" ht="12.75" customHeight="1" x14ac:dyDescent="0.2">
      <c r="A57" s="133" t="s">
        <v>110</v>
      </c>
      <c r="B57" s="144">
        <v>7000</v>
      </c>
      <c r="C57" s="131"/>
      <c r="D57" s="131"/>
      <c r="E57" s="132"/>
      <c r="F57" s="131"/>
      <c r="G57" s="132"/>
      <c r="H57" s="131"/>
      <c r="I57" s="132"/>
      <c r="J57" s="131"/>
      <c r="K57" s="132"/>
      <c r="L57" s="131"/>
      <c r="M57" s="132"/>
      <c r="N57" s="131"/>
      <c r="O57" s="132"/>
      <c r="P57" s="131"/>
      <c r="Q57" s="132"/>
      <c r="R57" s="131"/>
      <c r="S57" s="132"/>
      <c r="T57" s="131"/>
      <c r="U57" s="132"/>
      <c r="V57" s="131"/>
      <c r="W57" s="132"/>
      <c r="X57" s="131"/>
      <c r="Y57" s="132"/>
      <c r="Z57" s="131"/>
      <c r="AA57" s="132"/>
      <c r="AB57" s="131"/>
      <c r="AC57" s="127"/>
    </row>
    <row r="58" spans="1:29" s="125" customFormat="1" ht="12.75" customHeight="1" x14ac:dyDescent="0.2">
      <c r="A58" s="127"/>
      <c r="B58" s="127"/>
      <c r="C58" s="131"/>
      <c r="D58" s="131"/>
      <c r="E58" s="132"/>
      <c r="F58" s="131"/>
      <c r="G58" s="132"/>
      <c r="H58" s="131"/>
      <c r="I58" s="132"/>
      <c r="J58" s="131"/>
      <c r="K58" s="132"/>
      <c r="L58" s="131"/>
      <c r="M58" s="132"/>
      <c r="N58" s="131"/>
      <c r="O58" s="132"/>
      <c r="P58" s="131"/>
      <c r="Q58" s="132"/>
      <c r="R58" s="131"/>
      <c r="S58" s="132"/>
      <c r="T58" s="131"/>
      <c r="U58" s="132"/>
      <c r="V58" s="131"/>
      <c r="W58" s="132"/>
      <c r="X58" s="131"/>
      <c r="Y58" s="132"/>
      <c r="Z58" s="131"/>
      <c r="AA58" s="132"/>
      <c r="AB58" s="131"/>
      <c r="AC58" s="127"/>
    </row>
    <row r="59" spans="1:29" s="138" customFormat="1" ht="12.75" customHeight="1" x14ac:dyDescent="0.25">
      <c r="A59" s="134" t="s">
        <v>249</v>
      </c>
      <c r="B59" s="135">
        <f>B9-SUM(B55:B57)</f>
        <v>50000</v>
      </c>
      <c r="C59" s="136"/>
      <c r="D59" s="136">
        <f>B59+D52</f>
        <v>48718.266666666663</v>
      </c>
      <c r="E59" s="137"/>
      <c r="F59" s="136">
        <f>D59+F52</f>
        <v>48982.805333333323</v>
      </c>
      <c r="G59" s="137"/>
      <c r="H59" s="136">
        <f>F59+H52</f>
        <v>50917.317759999991</v>
      </c>
      <c r="I59" s="137"/>
      <c r="J59" s="136">
        <f>H59+J52</f>
        <v>47775.401847466666</v>
      </c>
      <c r="K59" s="137"/>
      <c r="L59" s="136">
        <f>J59+L52</f>
        <v>46581.343328597352</v>
      </c>
      <c r="M59" s="137"/>
      <c r="N59" s="136">
        <f>L59+N52</f>
        <v>47490.97079488515</v>
      </c>
      <c r="O59" s="137"/>
      <c r="P59" s="136">
        <f>N59+P52</f>
        <v>50672.579125142634</v>
      </c>
      <c r="Q59" s="137"/>
      <c r="R59" s="136">
        <f>P59+R52</f>
        <v>56307.926788487399</v>
      </c>
      <c r="S59" s="137"/>
      <c r="T59" s="136">
        <f>R59+T52</f>
        <v>64593.312931566412</v>
      </c>
      <c r="U59" s="137"/>
      <c r="V59" s="136">
        <f>T59+V52</f>
        <v>75740.740632758418</v>
      </c>
      <c r="W59" s="137"/>
      <c r="X59" s="136">
        <f>V59+X52</f>
        <v>89979.173216712443</v>
      </c>
      <c r="Y59" s="137"/>
      <c r="Z59" s="136">
        <f>X59+Z52</f>
        <v>107143.09107404944</v>
      </c>
      <c r="AA59" s="137"/>
      <c r="AB59" s="136"/>
      <c r="AC59" s="134"/>
    </row>
    <row r="60" spans="1:29" ht="12.75" customHeight="1" x14ac:dyDescent="0.2">
      <c r="A60" s="121"/>
      <c r="B60" s="121"/>
      <c r="C60" s="122"/>
      <c r="D60" s="122"/>
      <c r="E60" s="123"/>
      <c r="F60" s="122"/>
      <c r="G60" s="123"/>
      <c r="H60" s="122"/>
      <c r="I60" s="123"/>
      <c r="J60" s="122"/>
      <c r="K60" s="123"/>
      <c r="L60" s="122"/>
      <c r="M60" s="123"/>
      <c r="N60" s="122"/>
      <c r="O60" s="123"/>
      <c r="P60" s="122"/>
      <c r="Q60" s="123"/>
      <c r="R60" s="122"/>
      <c r="S60" s="123"/>
      <c r="T60" s="122"/>
      <c r="U60" s="123"/>
      <c r="V60" s="122"/>
      <c r="W60" s="123"/>
      <c r="X60" s="122"/>
      <c r="Y60" s="123"/>
      <c r="Z60" s="122"/>
      <c r="AA60" s="123"/>
      <c r="AB60" s="122"/>
      <c r="AC60" s="6"/>
    </row>
    <row r="61" spans="1:29" ht="12.75" customHeight="1" x14ac:dyDescent="0.2">
      <c r="A61" s="111" t="s">
        <v>245</v>
      </c>
      <c r="B61" s="111"/>
      <c r="C61" s="35"/>
      <c r="D61" s="35"/>
      <c r="E61" s="36"/>
      <c r="F61" s="35"/>
      <c r="G61" s="36"/>
      <c r="H61" s="35"/>
      <c r="I61" s="36"/>
      <c r="J61" s="35"/>
      <c r="K61" s="36"/>
      <c r="L61" s="35"/>
      <c r="M61" s="36"/>
      <c r="N61" s="35"/>
      <c r="O61" s="36"/>
      <c r="P61" s="35"/>
      <c r="Q61" s="36"/>
      <c r="R61" s="35"/>
      <c r="S61" s="36"/>
      <c r="T61" s="35"/>
      <c r="U61" s="36"/>
      <c r="V61" s="35"/>
      <c r="W61" s="36"/>
      <c r="X61" s="35"/>
      <c r="Y61" s="36"/>
      <c r="Z61" s="35"/>
      <c r="AA61" s="36"/>
      <c r="AB61" s="35"/>
      <c r="AC61" s="6"/>
    </row>
    <row r="62" spans="1:29" ht="12.75" customHeight="1" x14ac:dyDescent="0.2">
      <c r="A62" s="111" t="s">
        <v>246</v>
      </c>
      <c r="B62" s="111"/>
      <c r="C62" s="35"/>
      <c r="D62" s="35"/>
      <c r="E62" s="36"/>
      <c r="F62" s="35"/>
      <c r="G62" s="36"/>
      <c r="H62" s="35"/>
      <c r="I62" s="36"/>
      <c r="J62" s="35"/>
      <c r="K62" s="36"/>
      <c r="L62" s="35"/>
      <c r="M62" s="36"/>
      <c r="N62" s="35"/>
      <c r="O62" s="36"/>
      <c r="P62" s="35"/>
      <c r="Q62" s="36"/>
      <c r="R62" s="35"/>
      <c r="S62" s="36"/>
      <c r="T62" s="35"/>
      <c r="U62" s="36"/>
      <c r="V62" s="35"/>
      <c r="W62" s="36"/>
      <c r="X62" s="35"/>
      <c r="Y62" s="36"/>
      <c r="Z62" s="35"/>
      <c r="AA62" s="36"/>
      <c r="AB62" s="35"/>
      <c r="AC62" s="6"/>
    </row>
    <row r="63" spans="1:29" ht="12.75" customHeight="1" x14ac:dyDescent="0.2">
      <c r="A63" s="111" t="s">
        <v>247</v>
      </c>
      <c r="B63" s="111"/>
      <c r="C63" s="35"/>
      <c r="D63" s="35"/>
      <c r="E63" s="36"/>
      <c r="F63" s="35"/>
      <c r="G63" s="36"/>
      <c r="H63" s="35"/>
      <c r="I63" s="36"/>
      <c r="J63" s="35"/>
      <c r="K63" s="36"/>
      <c r="L63" s="35"/>
      <c r="M63" s="36"/>
      <c r="N63" s="35"/>
      <c r="O63" s="36"/>
      <c r="P63" s="35"/>
      <c r="Q63" s="36"/>
      <c r="R63" s="35"/>
      <c r="S63" s="36"/>
      <c r="T63" s="35"/>
      <c r="U63" s="36"/>
      <c r="V63" s="35"/>
      <c r="W63" s="36"/>
      <c r="X63" s="35"/>
      <c r="Y63" s="36"/>
      <c r="Z63" s="35"/>
      <c r="AA63" s="36"/>
      <c r="AB63" s="35"/>
      <c r="AC6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workbookViewId="0"/>
  </sheetViews>
  <sheetFormatPr defaultRowHeight="12.75" x14ac:dyDescent="0.2"/>
  <cols>
    <col min="1" max="1" width="46.7109375" style="187" bestFit="1" customWidth="1"/>
    <col min="2" max="4" width="9.5703125" style="188" customWidth="1"/>
    <col min="5" max="7" width="9.5703125" style="189" customWidth="1"/>
    <col min="8" max="16384" width="9.140625" style="188"/>
  </cols>
  <sheetData>
    <row r="1" spans="1:7" s="150" customFormat="1" ht="18" x14ac:dyDescent="0.25">
      <c r="A1" s="147" t="s">
        <v>23</v>
      </c>
      <c r="B1" s="148"/>
      <c r="C1" s="148"/>
      <c r="D1" s="148"/>
      <c r="E1" s="149"/>
      <c r="F1" s="149"/>
      <c r="G1" s="149"/>
    </row>
    <row r="2" spans="1:7" s="150" customFormat="1" x14ac:dyDescent="0.2">
      <c r="A2" s="151" t="s">
        <v>24</v>
      </c>
      <c r="B2" s="148"/>
      <c r="C2" s="148"/>
      <c r="D2" s="148"/>
      <c r="E2" s="149"/>
      <c r="F2" s="149"/>
      <c r="G2" s="149"/>
    </row>
    <row r="3" spans="1:7" s="150" customFormat="1" ht="7.9" customHeight="1" x14ac:dyDescent="0.2">
      <c r="A3" s="148"/>
      <c r="B3" s="148"/>
      <c r="C3" s="148"/>
      <c r="D3" s="148"/>
      <c r="E3" s="149"/>
      <c r="F3" s="149"/>
      <c r="G3" s="149"/>
    </row>
    <row r="4" spans="1:7" s="150" customFormat="1" x14ac:dyDescent="0.2">
      <c r="A4" s="151" t="s">
        <v>25</v>
      </c>
      <c r="B4" s="148"/>
      <c r="C4" s="152"/>
      <c r="D4" s="151"/>
      <c r="E4" s="149"/>
      <c r="F4" s="149"/>
      <c r="G4" s="149"/>
    </row>
    <row r="5" spans="1:7" s="150" customFormat="1" ht="7.9" customHeight="1" x14ac:dyDescent="0.2">
      <c r="A5" s="151"/>
      <c r="B5" s="148"/>
      <c r="C5" s="152"/>
      <c r="D5" s="148"/>
      <c r="E5" s="149"/>
      <c r="F5" s="149"/>
      <c r="G5" s="149"/>
    </row>
    <row r="6" spans="1:7" s="150" customFormat="1" x14ac:dyDescent="0.2">
      <c r="A6" s="153" t="s">
        <v>26</v>
      </c>
      <c r="B6" s="154" t="str">
        <f>IF(D16=0,"-",D25/D16)</f>
        <v>-</v>
      </c>
      <c r="C6" s="152"/>
      <c r="D6" s="148"/>
      <c r="E6" s="149"/>
      <c r="F6" s="149"/>
      <c r="G6" s="149"/>
    </row>
    <row r="7" spans="1:7" s="150" customFormat="1" x14ac:dyDescent="0.2">
      <c r="A7" s="155" t="s">
        <v>27</v>
      </c>
      <c r="B7" s="156" t="str">
        <f>IF(D16=0,"-",D71/D16)</f>
        <v>-</v>
      </c>
      <c r="C7" s="152"/>
      <c r="D7" s="148"/>
      <c r="E7" s="149"/>
      <c r="F7" s="149"/>
      <c r="G7" s="149"/>
    </row>
    <row r="8" spans="1:7" s="150" customFormat="1" ht="7.9" customHeight="1" x14ac:dyDescent="0.2">
      <c r="A8" s="148"/>
      <c r="B8" s="148"/>
      <c r="C8" s="148"/>
      <c r="D8" s="148"/>
      <c r="E8" s="149"/>
      <c r="F8" s="149"/>
      <c r="G8" s="149"/>
    </row>
    <row r="9" spans="1:7" s="161" customFormat="1" ht="41.25" customHeight="1" x14ac:dyDescent="0.15">
      <c r="A9" s="39"/>
      <c r="B9" s="157" t="s">
        <v>28</v>
      </c>
      <c r="C9" s="158" t="s">
        <v>258</v>
      </c>
      <c r="D9" s="158" t="s">
        <v>29</v>
      </c>
      <c r="E9" s="159" t="s">
        <v>30</v>
      </c>
      <c r="F9" s="160" t="s">
        <v>31</v>
      </c>
      <c r="G9" s="158" t="s">
        <v>259</v>
      </c>
    </row>
    <row r="10" spans="1:7" s="161" customFormat="1" ht="7.9" customHeight="1" x14ac:dyDescent="0.2">
      <c r="A10" s="162"/>
      <c r="B10" s="163"/>
      <c r="C10" s="164"/>
      <c r="D10" s="164"/>
      <c r="E10" s="164"/>
      <c r="F10" s="165"/>
      <c r="G10" s="164"/>
    </row>
    <row r="11" spans="1:7" s="167" customFormat="1" ht="12" x14ac:dyDescent="0.2">
      <c r="A11" s="166" t="s">
        <v>32</v>
      </c>
      <c r="B11" s="40"/>
      <c r="C11" s="40"/>
      <c r="D11" s="40"/>
      <c r="E11" s="41"/>
      <c r="F11" s="41"/>
      <c r="G11" s="41"/>
    </row>
    <row r="12" spans="1:7" s="167" customFormat="1" ht="12" x14ac:dyDescent="0.2">
      <c r="A12" s="168" t="s">
        <v>33</v>
      </c>
      <c r="B12" s="145"/>
      <c r="C12" s="145"/>
      <c r="D12" s="145"/>
      <c r="E12" s="169" t="str">
        <f>IF($D$16=0,"-",D12/$D$16)</f>
        <v>-</v>
      </c>
      <c r="F12" s="169" t="str">
        <f>IF(D12=0,"-",D12/B12-1)</f>
        <v>-</v>
      </c>
      <c r="G12" s="169" t="str">
        <f>IF(D12=0,"-",D12/C12-1)</f>
        <v>-</v>
      </c>
    </row>
    <row r="13" spans="1:7" s="167" customFormat="1" ht="12" x14ac:dyDescent="0.2">
      <c r="A13" s="168" t="s">
        <v>34</v>
      </c>
      <c r="B13" s="145"/>
      <c r="C13" s="145"/>
      <c r="D13" s="145"/>
      <c r="E13" s="169" t="str">
        <f>IF($D$16=0,"-",D13/$D$16)</f>
        <v>-</v>
      </c>
      <c r="F13" s="169" t="str">
        <f>IF(D13=0,"-",D13/B13-1)</f>
        <v>-</v>
      </c>
      <c r="G13" s="169" t="str">
        <f>IF(D13=0,"-",D13/C13-1)</f>
        <v>-</v>
      </c>
    </row>
    <row r="14" spans="1:7" s="167" customFormat="1" ht="12" x14ac:dyDescent="0.2">
      <c r="A14" s="168" t="s">
        <v>35</v>
      </c>
      <c r="B14" s="145"/>
      <c r="C14" s="145"/>
      <c r="D14" s="145"/>
      <c r="E14" s="169" t="str">
        <f>IF($D$16=0,"-",D14/$D$16)</f>
        <v>-</v>
      </c>
      <c r="F14" s="169" t="str">
        <f>IF(D14=0,"-",D14/B14-1)</f>
        <v>-</v>
      </c>
      <c r="G14" s="169" t="str">
        <f>IF(D14=0,"-",D14/C14-1)</f>
        <v>-</v>
      </c>
    </row>
    <row r="15" spans="1:7" s="167" customFormat="1" ht="12" x14ac:dyDescent="0.2">
      <c r="A15" s="168" t="s">
        <v>36</v>
      </c>
      <c r="B15" s="145"/>
      <c r="C15" s="145"/>
      <c r="D15" s="145"/>
      <c r="E15" s="170" t="str">
        <f>IF($D$16=0,"-",D15/$D$16)</f>
        <v>-</v>
      </c>
      <c r="F15" s="170" t="str">
        <f>IF(D15=0,"-",D15/B15-1)</f>
        <v>-</v>
      </c>
      <c r="G15" s="170" t="str">
        <f>IF(D15=0,"-",D15/C15-1)</f>
        <v>-</v>
      </c>
    </row>
    <row r="16" spans="1:7" s="167" customFormat="1" ht="12" x14ac:dyDescent="0.2">
      <c r="A16" s="43" t="s">
        <v>37</v>
      </c>
      <c r="B16" s="42">
        <f>SUM(B12:B15)</f>
        <v>0</v>
      </c>
      <c r="C16" s="42">
        <f>SUM(C12:C15)</f>
        <v>0</v>
      </c>
      <c r="D16" s="42">
        <f>SUM(D12:D15)</f>
        <v>0</v>
      </c>
      <c r="E16" s="169" t="str">
        <f>IF($D$16=0,"-",D16/$D$16)</f>
        <v>-</v>
      </c>
      <c r="F16" s="169" t="str">
        <f>IF(D16=0,"-",D16/B16-1)</f>
        <v>-</v>
      </c>
      <c r="G16" s="169" t="str">
        <f>IF(D16=0,"-",D16/C16-1)</f>
        <v>-</v>
      </c>
    </row>
    <row r="17" spans="1:7" s="167" customFormat="1" ht="8.25" customHeight="1" x14ac:dyDescent="0.2">
      <c r="A17" s="171"/>
      <c r="B17" s="40"/>
      <c r="C17" s="40"/>
      <c r="D17" s="40"/>
      <c r="E17" s="41"/>
      <c r="F17" s="41"/>
      <c r="G17" s="41"/>
    </row>
    <row r="18" spans="1:7" s="167" customFormat="1" ht="12" x14ac:dyDescent="0.2">
      <c r="A18" s="166" t="s">
        <v>7</v>
      </c>
      <c r="B18" s="40"/>
      <c r="C18" s="40"/>
      <c r="D18" s="40"/>
      <c r="E18" s="41"/>
      <c r="F18" s="41"/>
      <c r="G18" s="41"/>
    </row>
    <row r="19" spans="1:7" s="167" customFormat="1" ht="12" x14ac:dyDescent="0.2">
      <c r="A19" s="168" t="s">
        <v>33</v>
      </c>
      <c r="B19" s="145"/>
      <c r="C19" s="145"/>
      <c r="D19" s="145"/>
      <c r="E19" s="169" t="str">
        <f>IF($D$16=0,"-",D19/$D$16)</f>
        <v>-</v>
      </c>
      <c r="F19" s="169" t="str">
        <f>IF(D19=0,"-",D19/B19-1)</f>
        <v>-</v>
      </c>
      <c r="G19" s="169" t="str">
        <f>IF(D19=0,"-",D19/C19-1)</f>
        <v>-</v>
      </c>
    </row>
    <row r="20" spans="1:7" s="167" customFormat="1" ht="12" x14ac:dyDescent="0.2">
      <c r="A20" s="168" t="s">
        <v>34</v>
      </c>
      <c r="B20" s="145"/>
      <c r="C20" s="145"/>
      <c r="D20" s="145"/>
      <c r="E20" s="169" t="str">
        <f>IF($D$16=0,"-",D20/$D$16)</f>
        <v>-</v>
      </c>
      <c r="F20" s="169" t="str">
        <f>IF(D20=0,"-",D20/B20-1)</f>
        <v>-</v>
      </c>
      <c r="G20" s="169" t="str">
        <f>IF(D20=0,"-",D20/C20-1)</f>
        <v>-</v>
      </c>
    </row>
    <row r="21" spans="1:7" s="167" customFormat="1" ht="12" x14ac:dyDescent="0.2">
      <c r="A21" s="168" t="s">
        <v>35</v>
      </c>
      <c r="B21" s="145"/>
      <c r="C21" s="145"/>
      <c r="D21" s="145"/>
      <c r="E21" s="169" t="str">
        <f>IF($D$16=0,"-",D21/$D$16)</f>
        <v>-</v>
      </c>
      <c r="F21" s="169" t="str">
        <f>IF(D21=0,"-",D21/B21-1)</f>
        <v>-</v>
      </c>
      <c r="G21" s="169" t="str">
        <f>IF(D21=0,"-",D21/C21-1)</f>
        <v>-</v>
      </c>
    </row>
    <row r="22" spans="1:7" s="167" customFormat="1" ht="12" x14ac:dyDescent="0.2">
      <c r="A22" s="168" t="s">
        <v>36</v>
      </c>
      <c r="B22" s="146"/>
      <c r="C22" s="146"/>
      <c r="D22" s="146"/>
      <c r="E22" s="169" t="str">
        <f>IF($D$16=0,"-",D22/$D$16)</f>
        <v>-</v>
      </c>
      <c r="F22" s="169" t="str">
        <f>IF(D22=0,"-",D22/B22-1)</f>
        <v>-</v>
      </c>
      <c r="G22" s="169" t="str">
        <f>IF(D22=0,"-",D22/C22-1)</f>
        <v>-</v>
      </c>
    </row>
    <row r="23" spans="1:7" s="167" customFormat="1" ht="12" x14ac:dyDescent="0.2">
      <c r="A23" s="43" t="s">
        <v>38</v>
      </c>
      <c r="B23" s="42">
        <f>SUM(B19:B22)</f>
        <v>0</v>
      </c>
      <c r="C23" s="42">
        <f>SUM(C19:C22)</f>
        <v>0</v>
      </c>
      <c r="D23" s="42">
        <f>SUM(D19:D22)</f>
        <v>0</v>
      </c>
      <c r="E23" s="169" t="str">
        <f>IF($D$16=0,"-",D23/$D$16)</f>
        <v>-</v>
      </c>
      <c r="F23" s="169" t="str">
        <f>IF(D23=0,"-",D23/B23-1)</f>
        <v>-</v>
      </c>
      <c r="G23" s="169" t="str">
        <f>IF(D23=0,"-",D23/C23-1)</f>
        <v>-</v>
      </c>
    </row>
    <row r="24" spans="1:7" s="167" customFormat="1" ht="8.25" customHeight="1" x14ac:dyDescent="0.2">
      <c r="A24" s="171"/>
      <c r="B24" s="40"/>
      <c r="C24" s="40"/>
      <c r="D24" s="40"/>
      <c r="E24" s="41"/>
      <c r="F24" s="41"/>
      <c r="G24" s="41"/>
    </row>
    <row r="25" spans="1:7" s="167" customFormat="1" ht="12" x14ac:dyDescent="0.2">
      <c r="A25" s="43" t="s">
        <v>39</v>
      </c>
      <c r="B25" s="172">
        <f>B16-B23</f>
        <v>0</v>
      </c>
      <c r="C25" s="172">
        <f>C16-C23</f>
        <v>0</v>
      </c>
      <c r="D25" s="172">
        <f>D16-D23</f>
        <v>0</v>
      </c>
      <c r="E25" s="173" t="str">
        <f>IF($D$16=0,"-",D25/$D$16)</f>
        <v>-</v>
      </c>
      <c r="F25" s="173" t="str">
        <f>IF(B25=0,"-",IF(B25=D25,"0.0%",IF(D25&gt;B25,ABS((D25/B25)-1),IF(AND(D25&lt;B25,B25&lt;0),-((D25/B25)-1),(D25/B25)-1))))</f>
        <v>-</v>
      </c>
      <c r="G25" s="173" t="str">
        <f>IF(C25=0,"-",IF(C25=D25,"0.0%",IF(D25&gt;C25,ABS((D25/C25)-1),IF(AND(D25&lt;C25,C25&lt;0),-((D25/C25)-1),(D25/C25)-1))))</f>
        <v>-</v>
      </c>
    </row>
    <row r="26" spans="1:7" s="167" customFormat="1" ht="8.25" customHeight="1" x14ac:dyDescent="0.2">
      <c r="A26" s="171"/>
      <c r="B26" s="40"/>
      <c r="C26" s="40"/>
      <c r="D26" s="40"/>
      <c r="E26" s="41"/>
      <c r="F26" s="41"/>
      <c r="G26" s="41"/>
    </row>
    <row r="27" spans="1:7" s="167" customFormat="1" ht="12" x14ac:dyDescent="0.2">
      <c r="A27" s="166" t="s">
        <v>40</v>
      </c>
      <c r="B27" s="40"/>
      <c r="C27" s="40"/>
      <c r="D27" s="40"/>
      <c r="E27" s="41"/>
      <c r="F27" s="41"/>
      <c r="G27" s="41"/>
    </row>
    <row r="28" spans="1:7" s="167" customFormat="1" ht="12" x14ac:dyDescent="0.2">
      <c r="A28" s="174" t="s">
        <v>41</v>
      </c>
      <c r="B28" s="40"/>
      <c r="C28" s="40"/>
      <c r="D28" s="40"/>
      <c r="E28" s="41"/>
      <c r="F28" s="41"/>
      <c r="G28" s="41"/>
    </row>
    <row r="29" spans="1:7" s="167" customFormat="1" ht="12" x14ac:dyDescent="0.2">
      <c r="A29" s="175" t="s">
        <v>14</v>
      </c>
      <c r="B29" s="145"/>
      <c r="C29" s="145"/>
      <c r="D29" s="145"/>
      <c r="E29" s="169" t="str">
        <f>IF($D$16=0,"-",D29/$D$16)</f>
        <v>-</v>
      </c>
      <c r="F29" s="169" t="str">
        <f>IF(D29=0,"-",D29/B29-1)</f>
        <v>-</v>
      </c>
      <c r="G29" s="169" t="str">
        <f>IF(D29=0,"-",D29/C29-1)</f>
        <v>-</v>
      </c>
    </row>
    <row r="30" spans="1:7" s="167" customFormat="1" ht="12" x14ac:dyDescent="0.2">
      <c r="A30" s="175" t="s">
        <v>42</v>
      </c>
      <c r="B30" s="145"/>
      <c r="C30" s="145"/>
      <c r="D30" s="145"/>
      <c r="E30" s="169" t="str">
        <f>IF($D$16=0,"-",D30/$D$16)</f>
        <v>-</v>
      </c>
      <c r="F30" s="169" t="str">
        <f>IF(D30=0,"-",D30/B30-1)</f>
        <v>-</v>
      </c>
      <c r="G30" s="169" t="str">
        <f>IF(D30=0,"-",D30/C30-1)</f>
        <v>-</v>
      </c>
    </row>
    <row r="31" spans="1:7" s="167" customFormat="1" ht="12" x14ac:dyDescent="0.2">
      <c r="A31" s="175" t="s">
        <v>20</v>
      </c>
      <c r="B31" s="145"/>
      <c r="C31" s="145"/>
      <c r="D31" s="145"/>
      <c r="E31" s="169" t="str">
        <f>IF($D$16=0,"-",D31/$D$16)</f>
        <v>-</v>
      </c>
      <c r="F31" s="169" t="str">
        <f>IF(D31=0,"-",D31/B31-1)</f>
        <v>-</v>
      </c>
      <c r="G31" s="169" t="str">
        <f>IF(D31=0,"-",D31/C31-1)</f>
        <v>-</v>
      </c>
    </row>
    <row r="32" spans="1:7" s="167" customFormat="1" ht="12" x14ac:dyDescent="0.2">
      <c r="A32" s="175" t="s">
        <v>20</v>
      </c>
      <c r="B32" s="146"/>
      <c r="C32" s="146"/>
      <c r="D32" s="146"/>
      <c r="E32" s="169" t="str">
        <f>IF($D$16=0,"-",D32/$D$16)</f>
        <v>-</v>
      </c>
      <c r="F32" s="169" t="str">
        <f>IF(D32=0,"-",D32/B32-1)</f>
        <v>-</v>
      </c>
      <c r="G32" s="169" t="str">
        <f>IF(D32=0,"-",D32/C32-1)</f>
        <v>-</v>
      </c>
    </row>
    <row r="33" spans="1:7" s="167" customFormat="1" ht="12" x14ac:dyDescent="0.2">
      <c r="A33" s="176" t="s">
        <v>43</v>
      </c>
      <c r="B33" s="42">
        <f>SUM(B29:B32)</f>
        <v>0</v>
      </c>
      <c r="C33" s="42">
        <f>SUM(C29:C32)</f>
        <v>0</v>
      </c>
      <c r="D33" s="42">
        <f>SUM(D29:D32)</f>
        <v>0</v>
      </c>
      <c r="E33" s="169" t="str">
        <f>IF($D$16=0,"-",D33/$D$16)</f>
        <v>-</v>
      </c>
      <c r="F33" s="169" t="str">
        <f>IF(D33=0,"-",D33/B33-1)</f>
        <v>-</v>
      </c>
      <c r="G33" s="169" t="str">
        <f>IF(D33=0,"-",D33/C33-1)</f>
        <v>-</v>
      </c>
    </row>
    <row r="34" spans="1:7" s="167" customFormat="1" ht="7.9" customHeight="1" x14ac:dyDescent="0.2">
      <c r="A34" s="171"/>
      <c r="B34" s="40"/>
      <c r="C34" s="40"/>
      <c r="D34" s="40"/>
      <c r="E34" s="41"/>
      <c r="F34" s="41"/>
      <c r="G34" s="41"/>
    </row>
    <row r="35" spans="1:7" s="167" customFormat="1" ht="12" x14ac:dyDescent="0.2">
      <c r="A35" s="174" t="s">
        <v>44</v>
      </c>
      <c r="B35" s="40"/>
      <c r="C35" s="40"/>
      <c r="D35" s="40"/>
      <c r="E35" s="41"/>
      <c r="F35" s="41"/>
      <c r="G35" s="41"/>
    </row>
    <row r="36" spans="1:7" s="167" customFormat="1" ht="12" x14ac:dyDescent="0.2">
      <c r="A36" s="175" t="s">
        <v>45</v>
      </c>
      <c r="B36" s="145"/>
      <c r="C36" s="145"/>
      <c r="D36" s="145"/>
      <c r="E36" s="169" t="str">
        <f>IF($D$16=0,"-",D36/$D$16)</f>
        <v>-</v>
      </c>
      <c r="F36" s="169" t="str">
        <f>IF(D36=0,"-",D36/B36-1)</f>
        <v>-</v>
      </c>
      <c r="G36" s="169" t="str">
        <f>IF(D36=0,"-",D36/C36-1)</f>
        <v>-</v>
      </c>
    </row>
    <row r="37" spans="1:7" s="167" customFormat="1" ht="12" x14ac:dyDescent="0.2">
      <c r="A37" s="175" t="s">
        <v>46</v>
      </c>
      <c r="B37" s="145"/>
      <c r="C37" s="145"/>
      <c r="D37" s="145"/>
      <c r="E37" s="169" t="str">
        <f>IF($D$16=0,"-",D37/$D$16)</f>
        <v>-</v>
      </c>
      <c r="F37" s="169" t="str">
        <f>IF(D37=0,"-",D37/B37-1)</f>
        <v>-</v>
      </c>
      <c r="G37" s="169" t="str">
        <f>IF(D37=0,"-",D37/C37-1)</f>
        <v>-</v>
      </c>
    </row>
    <row r="38" spans="1:7" s="167" customFormat="1" ht="12" x14ac:dyDescent="0.2">
      <c r="A38" s="175" t="s">
        <v>20</v>
      </c>
      <c r="B38" s="145"/>
      <c r="C38" s="145"/>
      <c r="D38" s="145"/>
      <c r="E38" s="169" t="str">
        <f>IF($D$16=0,"-",D38/$D$16)</f>
        <v>-</v>
      </c>
      <c r="F38" s="169" t="str">
        <f>IF(D38=0,"-",D38/B38-1)</f>
        <v>-</v>
      </c>
      <c r="G38" s="169" t="str">
        <f>IF(D38=0,"-",D38/C38-1)</f>
        <v>-</v>
      </c>
    </row>
    <row r="39" spans="1:7" s="167" customFormat="1" ht="12" x14ac:dyDescent="0.2">
      <c r="A39" s="175" t="s">
        <v>20</v>
      </c>
      <c r="B39" s="146"/>
      <c r="C39" s="146"/>
      <c r="D39" s="146"/>
      <c r="E39" s="169" t="str">
        <f>IF($D$16=0,"-",D39/$D$16)</f>
        <v>-</v>
      </c>
      <c r="F39" s="169" t="str">
        <f>IF(D39=0,"-",D39/B39-1)</f>
        <v>-</v>
      </c>
      <c r="G39" s="169" t="str">
        <f>IF(D39=0,"-",D39/C39-1)</f>
        <v>-</v>
      </c>
    </row>
    <row r="40" spans="1:7" s="167" customFormat="1" ht="12" x14ac:dyDescent="0.2">
      <c r="A40" s="176" t="s">
        <v>47</v>
      </c>
      <c r="B40" s="42">
        <f>SUM(B36:B39)</f>
        <v>0</v>
      </c>
      <c r="C40" s="42">
        <f>SUM(C36:C39)</f>
        <v>0</v>
      </c>
      <c r="D40" s="42">
        <f>SUM(D36:D39)</f>
        <v>0</v>
      </c>
      <c r="E40" s="169" t="str">
        <f>IF($D$16=0,"-",D40/$D$16)</f>
        <v>-</v>
      </c>
      <c r="F40" s="169" t="str">
        <f>IF(D40=0,"-",D40/B40-1)</f>
        <v>-</v>
      </c>
      <c r="G40" s="169" t="str">
        <f>IF(D40=0,"-",D40/C40-1)</f>
        <v>-</v>
      </c>
    </row>
    <row r="41" spans="1:7" s="167" customFormat="1" ht="7.9" customHeight="1" x14ac:dyDescent="0.2">
      <c r="A41" s="177"/>
      <c r="B41" s="40"/>
      <c r="C41" s="40"/>
      <c r="D41" s="40"/>
      <c r="E41" s="41"/>
      <c r="F41" s="41"/>
      <c r="G41" s="41"/>
    </row>
    <row r="42" spans="1:7" s="167" customFormat="1" ht="12" x14ac:dyDescent="0.2">
      <c r="A42" s="174" t="s">
        <v>48</v>
      </c>
      <c r="B42" s="40"/>
      <c r="C42" s="40"/>
      <c r="D42" s="40"/>
      <c r="E42" s="41"/>
      <c r="F42" s="41"/>
      <c r="G42" s="41"/>
    </row>
    <row r="43" spans="1:7" s="167" customFormat="1" ht="12" x14ac:dyDescent="0.2">
      <c r="A43" s="175" t="s">
        <v>49</v>
      </c>
      <c r="B43" s="145"/>
      <c r="C43" s="145"/>
      <c r="D43" s="145"/>
      <c r="E43" s="169" t="str">
        <f t="shared" ref="E43:E55" si="0">IF($D$16=0,"-",D43/$D$16)</f>
        <v>-</v>
      </c>
      <c r="F43" s="169" t="str">
        <f t="shared" ref="F43:F55" si="1">IF(D43=0,"-",D43/B43-1)</f>
        <v>-</v>
      </c>
      <c r="G43" s="169" t="str">
        <f t="shared" ref="G43:G55" si="2">IF(D43=0,"-",D43/C43-1)</f>
        <v>-</v>
      </c>
    </row>
    <row r="44" spans="1:7" s="167" customFormat="1" ht="12" x14ac:dyDescent="0.2">
      <c r="A44" s="175" t="s">
        <v>11</v>
      </c>
      <c r="B44" s="145"/>
      <c r="C44" s="145"/>
      <c r="D44" s="145"/>
      <c r="E44" s="169" t="str">
        <f t="shared" si="0"/>
        <v>-</v>
      </c>
      <c r="F44" s="169" t="str">
        <f t="shared" si="1"/>
        <v>-</v>
      </c>
      <c r="G44" s="169" t="str">
        <f t="shared" si="2"/>
        <v>-</v>
      </c>
    </row>
    <row r="45" spans="1:7" s="167" customFormat="1" ht="12" x14ac:dyDescent="0.2">
      <c r="A45" s="175" t="s">
        <v>12</v>
      </c>
      <c r="B45" s="145"/>
      <c r="C45" s="145"/>
      <c r="D45" s="145"/>
      <c r="E45" s="169" t="str">
        <f t="shared" si="0"/>
        <v>-</v>
      </c>
      <c r="F45" s="169" t="str">
        <f t="shared" si="1"/>
        <v>-</v>
      </c>
      <c r="G45" s="169" t="str">
        <f t="shared" si="2"/>
        <v>-</v>
      </c>
    </row>
    <row r="46" spans="1:7" s="167" customFormat="1" ht="12" x14ac:dyDescent="0.2">
      <c r="A46" s="175" t="s">
        <v>50</v>
      </c>
      <c r="B46" s="145"/>
      <c r="C46" s="145"/>
      <c r="D46" s="145"/>
      <c r="E46" s="169" t="str">
        <f t="shared" si="0"/>
        <v>-</v>
      </c>
      <c r="F46" s="169" t="str">
        <f t="shared" si="1"/>
        <v>-</v>
      </c>
      <c r="G46" s="169" t="str">
        <f t="shared" si="2"/>
        <v>-</v>
      </c>
    </row>
    <row r="47" spans="1:7" s="167" customFormat="1" ht="12" x14ac:dyDescent="0.2">
      <c r="A47" s="175" t="s">
        <v>15</v>
      </c>
      <c r="B47" s="145"/>
      <c r="C47" s="145"/>
      <c r="D47" s="145"/>
      <c r="E47" s="169" t="str">
        <f t="shared" si="0"/>
        <v>-</v>
      </c>
      <c r="F47" s="169" t="str">
        <f t="shared" si="1"/>
        <v>-</v>
      </c>
      <c r="G47" s="169" t="str">
        <f t="shared" si="2"/>
        <v>-</v>
      </c>
    </row>
    <row r="48" spans="1:7" s="167" customFormat="1" ht="12" x14ac:dyDescent="0.2">
      <c r="A48" s="175" t="s">
        <v>16</v>
      </c>
      <c r="B48" s="145"/>
      <c r="C48" s="145"/>
      <c r="D48" s="145"/>
      <c r="E48" s="169" t="str">
        <f t="shared" si="0"/>
        <v>-</v>
      </c>
      <c r="F48" s="169" t="str">
        <f t="shared" si="1"/>
        <v>-</v>
      </c>
      <c r="G48" s="169" t="str">
        <f t="shared" si="2"/>
        <v>-</v>
      </c>
    </row>
    <row r="49" spans="1:7" s="167" customFormat="1" ht="12" x14ac:dyDescent="0.2">
      <c r="A49" s="175" t="s">
        <v>17</v>
      </c>
      <c r="B49" s="145"/>
      <c r="C49" s="145"/>
      <c r="D49" s="145"/>
      <c r="E49" s="169" t="str">
        <f t="shared" si="0"/>
        <v>-</v>
      </c>
      <c r="F49" s="169" t="str">
        <f t="shared" si="1"/>
        <v>-</v>
      </c>
      <c r="G49" s="169" t="str">
        <f t="shared" si="2"/>
        <v>-</v>
      </c>
    </row>
    <row r="50" spans="1:7" s="167" customFormat="1" ht="12" x14ac:dyDescent="0.2">
      <c r="A50" s="175" t="s">
        <v>19</v>
      </c>
      <c r="B50" s="145"/>
      <c r="C50" s="145"/>
      <c r="D50" s="145"/>
      <c r="E50" s="169" t="str">
        <f t="shared" si="0"/>
        <v>-</v>
      </c>
      <c r="F50" s="169" t="str">
        <f t="shared" si="1"/>
        <v>-</v>
      </c>
      <c r="G50" s="169" t="str">
        <f t="shared" si="2"/>
        <v>-</v>
      </c>
    </row>
    <row r="51" spans="1:7" s="167" customFormat="1" ht="12" x14ac:dyDescent="0.2">
      <c r="A51" s="175" t="s">
        <v>18</v>
      </c>
      <c r="B51" s="145"/>
      <c r="C51" s="145"/>
      <c r="D51" s="145"/>
      <c r="E51" s="169" t="str">
        <f t="shared" si="0"/>
        <v>-</v>
      </c>
      <c r="F51" s="169" t="str">
        <f t="shared" si="1"/>
        <v>-</v>
      </c>
      <c r="G51" s="169" t="str">
        <f t="shared" si="2"/>
        <v>-</v>
      </c>
    </row>
    <row r="52" spans="1:7" s="167" customFormat="1" ht="12" x14ac:dyDescent="0.2">
      <c r="A52" s="175" t="s">
        <v>13</v>
      </c>
      <c r="B52" s="145"/>
      <c r="C52" s="145"/>
      <c r="D52" s="145"/>
      <c r="E52" s="169" t="str">
        <f t="shared" si="0"/>
        <v>-</v>
      </c>
      <c r="F52" s="169" t="str">
        <f t="shared" si="1"/>
        <v>-</v>
      </c>
      <c r="G52" s="169" t="str">
        <f t="shared" si="2"/>
        <v>-</v>
      </c>
    </row>
    <row r="53" spans="1:7" s="167" customFormat="1" ht="12" x14ac:dyDescent="0.2">
      <c r="A53" s="175" t="s">
        <v>20</v>
      </c>
      <c r="B53" s="145"/>
      <c r="C53" s="145"/>
      <c r="D53" s="145"/>
      <c r="E53" s="169" t="str">
        <f t="shared" si="0"/>
        <v>-</v>
      </c>
      <c r="F53" s="169" t="str">
        <f t="shared" si="1"/>
        <v>-</v>
      </c>
      <c r="G53" s="169" t="str">
        <f t="shared" si="2"/>
        <v>-</v>
      </c>
    </row>
    <row r="54" spans="1:7" s="167" customFormat="1" ht="12" x14ac:dyDescent="0.2">
      <c r="A54" s="175" t="s">
        <v>20</v>
      </c>
      <c r="B54" s="146"/>
      <c r="C54" s="146"/>
      <c r="D54" s="146"/>
      <c r="E54" s="169" t="str">
        <f t="shared" si="0"/>
        <v>-</v>
      </c>
      <c r="F54" s="169" t="str">
        <f t="shared" si="1"/>
        <v>-</v>
      </c>
      <c r="G54" s="169" t="str">
        <f t="shared" si="2"/>
        <v>-</v>
      </c>
    </row>
    <row r="55" spans="1:7" s="167" customFormat="1" ht="12" x14ac:dyDescent="0.2">
      <c r="A55" s="176" t="s">
        <v>51</v>
      </c>
      <c r="B55" s="42">
        <f>SUM(B43:B54)</f>
        <v>0</v>
      </c>
      <c r="C55" s="42">
        <f>SUM(C43:C54)</f>
        <v>0</v>
      </c>
      <c r="D55" s="42">
        <f>SUM(D43:D54)</f>
        <v>0</v>
      </c>
      <c r="E55" s="169" t="str">
        <f t="shared" si="0"/>
        <v>-</v>
      </c>
      <c r="F55" s="169" t="str">
        <f t="shared" si="1"/>
        <v>-</v>
      </c>
      <c r="G55" s="169" t="str">
        <f t="shared" si="2"/>
        <v>-</v>
      </c>
    </row>
    <row r="56" spans="1:7" s="167" customFormat="1" ht="7.9" customHeight="1" x14ac:dyDescent="0.2">
      <c r="A56" s="177"/>
      <c r="B56" s="40"/>
      <c r="C56" s="40"/>
      <c r="D56" s="40"/>
      <c r="E56" s="41"/>
      <c r="F56" s="41"/>
      <c r="G56" s="41"/>
    </row>
    <row r="57" spans="1:7" s="178" customFormat="1" ht="12" x14ac:dyDescent="0.2">
      <c r="A57" s="43" t="s">
        <v>52</v>
      </c>
      <c r="B57" s="42">
        <f>B33+B40+B55</f>
        <v>0</v>
      </c>
      <c r="C57" s="42">
        <f>C33+C40+C55</f>
        <v>0</v>
      </c>
      <c r="D57" s="42">
        <f>D33+D40+D55</f>
        <v>0</v>
      </c>
      <c r="E57" s="169" t="str">
        <f>IF($D$16=0,"-",D57/$D$16)</f>
        <v>-</v>
      </c>
      <c r="F57" s="169" t="str">
        <f>IF(D57=0,"-",D57/B57-1)</f>
        <v>-</v>
      </c>
      <c r="G57" s="169" t="str">
        <f>IF(D57=0,"-",D57/C57-1)</f>
        <v>-</v>
      </c>
    </row>
    <row r="58" spans="1:7" s="178" customFormat="1" ht="7.9" customHeight="1" x14ac:dyDescent="0.2">
      <c r="A58" s="179"/>
      <c r="B58" s="40"/>
      <c r="C58" s="40"/>
      <c r="D58" s="40"/>
      <c r="E58" s="41"/>
      <c r="F58" s="41"/>
      <c r="G58" s="41"/>
    </row>
    <row r="59" spans="1:7" s="178" customFormat="1" ht="12" x14ac:dyDescent="0.2">
      <c r="A59" s="43" t="s">
        <v>53</v>
      </c>
      <c r="B59" s="172">
        <f>B25-B57</f>
        <v>0</v>
      </c>
      <c r="C59" s="172">
        <f>C25-C57</f>
        <v>0</v>
      </c>
      <c r="D59" s="172">
        <f>D25-D57</f>
        <v>0</v>
      </c>
      <c r="E59" s="173" t="str">
        <f>IF($D$16=0,"-",D59/$D$16)</f>
        <v>-</v>
      </c>
      <c r="F59" s="173" t="str">
        <f>IF(B59=0,"-",IF(B59=D59,"0.0%",IF(D59&gt;B59,ABS((D59/B59)-1),IF(AND(D59&lt;B59,B59&lt;0),-((D59/B59)-1),(D59/B59)-1))))</f>
        <v>-</v>
      </c>
      <c r="G59" s="173" t="str">
        <f>IF(C59=0,"-",IF(C59=D59,"0.0%",IF(D59&gt;C59,ABS((D59/C59)-1),IF(AND(D59&lt;C59,C59&lt;0),-((D59/C59)-1),(D59/C59)-1))))</f>
        <v>-</v>
      </c>
    </row>
    <row r="60" spans="1:7" s="178" customFormat="1" ht="7.9" customHeight="1" x14ac:dyDescent="0.2">
      <c r="A60" s="179"/>
      <c r="B60" s="180"/>
      <c r="C60" s="180"/>
      <c r="D60" s="180"/>
      <c r="E60" s="181"/>
      <c r="F60" s="181"/>
      <c r="G60" s="181"/>
    </row>
    <row r="61" spans="1:7" s="178" customFormat="1" ht="12" x14ac:dyDescent="0.2">
      <c r="A61" s="182" t="s">
        <v>54</v>
      </c>
      <c r="B61" s="42"/>
      <c r="C61" s="42"/>
      <c r="D61" s="42"/>
      <c r="E61" s="183" t="str">
        <f>IF($D$16=0,"-",D61/$D$16)</f>
        <v>-</v>
      </c>
      <c r="F61" s="169" t="str">
        <f>IF(D61=0,"-",D61/B61-1)</f>
        <v>-</v>
      </c>
      <c r="G61" s="169" t="str">
        <f>IF(D61=0,"-",D61/C61-1)</f>
        <v>-</v>
      </c>
    </row>
    <row r="62" spans="1:7" s="178" customFormat="1" ht="7.9" customHeight="1" x14ac:dyDescent="0.2">
      <c r="A62" s="179"/>
      <c r="B62" s="40"/>
      <c r="C62" s="40"/>
      <c r="D62" s="40"/>
      <c r="E62" s="41"/>
      <c r="F62" s="41"/>
      <c r="G62" s="41"/>
    </row>
    <row r="63" spans="1:7" s="178" customFormat="1" ht="12" x14ac:dyDescent="0.2">
      <c r="A63" s="179" t="s">
        <v>55</v>
      </c>
      <c r="B63" s="40"/>
      <c r="C63" s="40"/>
      <c r="D63" s="40"/>
      <c r="E63" s="41"/>
      <c r="F63" s="41"/>
      <c r="G63" s="41"/>
    </row>
    <row r="64" spans="1:7" s="167" customFormat="1" ht="12" x14ac:dyDescent="0.2">
      <c r="A64" s="168" t="s">
        <v>56</v>
      </c>
      <c r="B64" s="145"/>
      <c r="C64" s="145"/>
      <c r="D64" s="145"/>
      <c r="E64" s="169" t="str">
        <f t="shared" ref="E64:E69" si="3">IF($D$16=0,"-",D64/$D$16)</f>
        <v>-</v>
      </c>
      <c r="F64" s="169" t="str">
        <f t="shared" ref="F64:F69" si="4">IF(D64=0,"-",D64/B64-1)</f>
        <v>-</v>
      </c>
      <c r="G64" s="169" t="str">
        <f t="shared" ref="G64:G69" si="5">IF(D64=0,"-",D64/C64-1)</f>
        <v>-</v>
      </c>
    </row>
    <row r="65" spans="1:7" s="167" customFormat="1" ht="12" x14ac:dyDescent="0.2">
      <c r="A65" s="168" t="s">
        <v>57</v>
      </c>
      <c r="B65" s="145"/>
      <c r="C65" s="145"/>
      <c r="D65" s="145"/>
      <c r="E65" s="169" t="str">
        <f t="shared" si="3"/>
        <v>-</v>
      </c>
      <c r="F65" s="169" t="str">
        <f t="shared" si="4"/>
        <v>-</v>
      </c>
      <c r="G65" s="169" t="str">
        <f t="shared" si="5"/>
        <v>-</v>
      </c>
    </row>
    <row r="66" spans="1:7" s="167" customFormat="1" ht="12" x14ac:dyDescent="0.2">
      <c r="A66" s="168" t="s">
        <v>58</v>
      </c>
      <c r="B66" s="145"/>
      <c r="C66" s="145"/>
      <c r="D66" s="145"/>
      <c r="E66" s="169" t="str">
        <f t="shared" si="3"/>
        <v>-</v>
      </c>
      <c r="F66" s="169" t="str">
        <f t="shared" si="4"/>
        <v>-</v>
      </c>
      <c r="G66" s="169" t="str">
        <f t="shared" si="5"/>
        <v>-</v>
      </c>
    </row>
    <row r="67" spans="1:7" s="167" customFormat="1" ht="12" x14ac:dyDescent="0.2">
      <c r="A67" s="168" t="s">
        <v>59</v>
      </c>
      <c r="B67" s="145"/>
      <c r="C67" s="145"/>
      <c r="D67" s="145"/>
      <c r="E67" s="169" t="str">
        <f t="shared" si="3"/>
        <v>-</v>
      </c>
      <c r="F67" s="169" t="str">
        <f t="shared" si="4"/>
        <v>-</v>
      </c>
      <c r="G67" s="169" t="str">
        <f t="shared" si="5"/>
        <v>-</v>
      </c>
    </row>
    <row r="68" spans="1:7" s="167" customFormat="1" ht="12" x14ac:dyDescent="0.2">
      <c r="A68" s="168" t="s">
        <v>59</v>
      </c>
      <c r="B68" s="146"/>
      <c r="C68" s="146"/>
      <c r="D68" s="146"/>
      <c r="E68" s="169" t="str">
        <f t="shared" si="3"/>
        <v>-</v>
      </c>
      <c r="F68" s="169" t="str">
        <f t="shared" si="4"/>
        <v>-</v>
      </c>
      <c r="G68" s="169" t="str">
        <f t="shared" si="5"/>
        <v>-</v>
      </c>
    </row>
    <row r="69" spans="1:7" s="167" customFormat="1" ht="12" x14ac:dyDescent="0.2">
      <c r="A69" s="43" t="s">
        <v>60</v>
      </c>
      <c r="B69" s="42">
        <f>SUM(B64:B68)</f>
        <v>0</v>
      </c>
      <c r="C69" s="42">
        <f>SUM(C64:C68)</f>
        <v>0</v>
      </c>
      <c r="D69" s="42">
        <f>SUM(D64:D68)</f>
        <v>0</v>
      </c>
      <c r="E69" s="169" t="str">
        <f t="shared" si="3"/>
        <v>-</v>
      </c>
      <c r="F69" s="169" t="str">
        <f t="shared" si="4"/>
        <v>-</v>
      </c>
      <c r="G69" s="169" t="str">
        <f t="shared" si="5"/>
        <v>-</v>
      </c>
    </row>
    <row r="70" spans="1:7" s="167" customFormat="1" ht="8.25" customHeight="1" x14ac:dyDescent="0.2">
      <c r="A70" s="171"/>
      <c r="B70" s="40"/>
      <c r="C70" s="40"/>
      <c r="D70" s="40"/>
      <c r="E70" s="41"/>
      <c r="F70" s="41"/>
      <c r="G70" s="41"/>
    </row>
    <row r="71" spans="1:7" s="167" customFormat="1" ht="12" x14ac:dyDescent="0.2">
      <c r="A71" s="43" t="s">
        <v>61</v>
      </c>
      <c r="B71" s="172">
        <f>B59+B61-B69</f>
        <v>0</v>
      </c>
      <c r="C71" s="172">
        <f>C59+C61-C69</f>
        <v>0</v>
      </c>
      <c r="D71" s="172">
        <f>D59+D61-D69</f>
        <v>0</v>
      </c>
      <c r="E71" s="173" t="str">
        <f>IF($D$16=0,"-",D71/$D$16)</f>
        <v>-</v>
      </c>
      <c r="F71" s="173" t="str">
        <f>IF(B71=0,"-",IF(B71=D71,"0.0%",IF(D71&gt;B71,ABS((D71/B71)-1),IF(AND(D71&lt;B71,B71&lt;0),-((D71/B71)-1),(D71/B71)-1))))</f>
        <v>-</v>
      </c>
      <c r="G71" s="173" t="str">
        <f>IF(C71=0,"-",IF(C71=D71,"0.0%",IF(D71&gt;C71,ABS((D71/C71)-1),IF(AND(D71&lt;C71,C71&lt;0),-((D71/C71)-1),(D71/C71)-1))))</f>
        <v>-</v>
      </c>
    </row>
    <row r="72" spans="1:7" s="185" customFormat="1" ht="11.25" x14ac:dyDescent="0.2">
      <c r="A72" s="184"/>
      <c r="E72" s="186"/>
      <c r="F72" s="186"/>
      <c r="G72" s="186"/>
    </row>
  </sheetData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616D951-1708-41A7-A0AB-2792FDED46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CEC0F3-9334-4703-91A7-9552FD653C5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Labor</vt:lpstr>
      <vt:lpstr>12 Months P&amp;L</vt:lpstr>
      <vt:lpstr>Cash Flow</vt:lpstr>
      <vt:lpstr>One Month P&amp;L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</cp:lastModifiedBy>
  <dcterms:created xsi:type="dcterms:W3CDTF">2009-07-14T23:28:31Z</dcterms:created>
  <dcterms:modified xsi:type="dcterms:W3CDTF">2011-06-01T04:39:57Z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TC103804689990</vt:lpwstr>
  </property>
</Properties>
</file>